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240" yWindow="1425" windowWidth="14805" windowHeight="6690" activeTab="2"/>
  </bookViews>
  <sheets>
    <sheet name="Доходы" sheetId="4" r:id="rId1"/>
    <sheet name="ВСР" sheetId="8" r:id="rId2"/>
    <sheet name="Прилож.3 Распр.по ассигн." sheetId="9" r:id="rId3"/>
  </sheets>
  <externalReferences>
    <externalReference r:id="rId4"/>
    <externalReference r:id="rId5"/>
  </externalReferences>
  <definedNames>
    <definedName name="_xlnm._FilterDatabase" localSheetId="1" hidden="1">ВСР!$A$7:$G$128</definedName>
    <definedName name="_xlnm._FilterDatabase" localSheetId="2" hidden="1">'Прилож.3 Распр.по ассигн.'!$A$7:$G$124</definedName>
    <definedName name="OLE_LINK1_16" localSheetId="1">#REF!</definedName>
    <definedName name="OLE_LINK1_16" localSheetId="2">#REF!</definedName>
    <definedName name="OLE_LINK1_16">#REF!</definedName>
    <definedName name="Spr_MO" localSheetId="1">#REF!</definedName>
    <definedName name="Spr_MO" localSheetId="2">#REF!</definedName>
    <definedName name="Spr_MO">#REF!</definedName>
    <definedName name="Должность" localSheetId="1">'[1]Форма 2005'!#REF!</definedName>
    <definedName name="Должность" localSheetId="2">'[1]Форма 2005'!#REF!</definedName>
    <definedName name="Должность">'[1]Форма 2005'!#REF!</definedName>
    <definedName name="Заголовок1">[1]Справочник!$B$1:$B$111</definedName>
    <definedName name="_xlnm.Print_Area" localSheetId="1">ВСР!$A$1:$G$128</definedName>
    <definedName name="_xlnm.Print_Area" localSheetId="0">Доходы!$A$1:$E$66</definedName>
    <definedName name="_xlnm.Print_Area" localSheetId="2">'Прилож.3 Распр.по ассигн.'!$A$1:$G$126</definedName>
    <definedName name="орапроа">'[1]Форма 2005'!#REF!</definedName>
    <definedName name="период">[1]Справочник!$D$1:$D$5</definedName>
    <definedName name="районы">[1]Справочник!$C$1:$C$19</definedName>
  </definedNames>
  <calcPr calcId="144525"/>
</workbook>
</file>

<file path=xl/calcChain.xml><?xml version="1.0" encoding="utf-8"?>
<calcChain xmlns="http://schemas.openxmlformats.org/spreadsheetml/2006/main">
  <c r="G48" i="8" l="1"/>
  <c r="G63" i="8"/>
  <c r="G61" i="8"/>
  <c r="G119" i="8" l="1"/>
  <c r="G55" i="8" l="1"/>
  <c r="G78" i="9" l="1"/>
  <c r="G77" i="9" s="1"/>
  <c r="G64" i="8"/>
  <c r="N13" i="4" l="1"/>
  <c r="N14" i="4" s="1"/>
  <c r="O19" i="4" l="1"/>
  <c r="L40" i="4"/>
  <c r="O40" i="4" s="1"/>
  <c r="L32" i="4"/>
  <c r="O32" i="4" s="1"/>
  <c r="G123" i="9" l="1"/>
  <c r="G122" i="9" s="1"/>
  <c r="G121" i="9" s="1"/>
  <c r="G120" i="9" s="1"/>
  <c r="G119" i="9"/>
  <c r="G118" i="9" s="1"/>
  <c r="G117" i="9" s="1"/>
  <c r="G116" i="9" s="1"/>
  <c r="G115" i="9"/>
  <c r="G114" i="9" s="1"/>
  <c r="G113" i="9"/>
  <c r="G112" i="9" s="1"/>
  <c r="G110" i="9"/>
  <c r="G109" i="9" s="1"/>
  <c r="G108" i="9" s="1"/>
  <c r="G106" i="9"/>
  <c r="G103" i="9"/>
  <c r="G102" i="9" s="1"/>
  <c r="G101" i="9"/>
  <c r="G100" i="9" s="1"/>
  <c r="G97" i="9"/>
  <c r="G96" i="9" s="1"/>
  <c r="G95" i="9"/>
  <c r="G93" i="9"/>
  <c r="G92" i="9" s="1"/>
  <c r="G90" i="9"/>
  <c r="G87" i="9"/>
  <c r="G86" i="9" s="1"/>
  <c r="G85" i="9" s="1"/>
  <c r="G84" i="9" s="1"/>
  <c r="G82" i="9"/>
  <c r="G81" i="9" s="1"/>
  <c r="G76" i="9"/>
  <c r="G75" i="9" s="1"/>
  <c r="G74" i="9"/>
  <c r="G73" i="9" s="1"/>
  <c r="G72" i="9"/>
  <c r="G71" i="9" s="1"/>
  <c r="G70" i="9"/>
  <c r="G68" i="9"/>
  <c r="G67" i="9" s="1"/>
  <c r="G66" i="9"/>
  <c r="G65" i="9" s="1"/>
  <c r="G64" i="9"/>
  <c r="G63" i="9" s="1"/>
  <c r="G59" i="9"/>
  <c r="G58" i="9" s="1"/>
  <c r="G57" i="9" s="1"/>
  <c r="G56" i="9"/>
  <c r="G55" i="9" s="1"/>
  <c r="G54" i="9" s="1"/>
  <c r="G52" i="9"/>
  <c r="G51" i="9" s="1"/>
  <c r="G50" i="9" s="1"/>
  <c r="G49" i="9" s="1"/>
  <c r="G48" i="9"/>
  <c r="G47" i="9" s="1"/>
  <c r="G46" i="9"/>
  <c r="G45" i="9" s="1"/>
  <c r="G44" i="9"/>
  <c r="G43" i="9"/>
  <c r="G41" i="9"/>
  <c r="G40" i="9" s="1"/>
  <c r="G39" i="9"/>
  <c r="G38" i="9" s="1"/>
  <c r="G36" i="9"/>
  <c r="G35" i="9" s="1"/>
  <c r="G34" i="9" s="1"/>
  <c r="G33" i="9"/>
  <c r="G32" i="9"/>
  <c r="G30" i="9"/>
  <c r="G29" i="9" s="1"/>
  <c r="G28" i="9"/>
  <c r="G27" i="9"/>
  <c r="G26" i="9"/>
  <c r="G24" i="9"/>
  <c r="G23" i="9" s="1"/>
  <c r="G21" i="9"/>
  <c r="G20" i="9"/>
  <c r="G19" i="9"/>
  <c r="G17" i="9"/>
  <c r="G16" i="9" s="1"/>
  <c r="G15" i="9"/>
  <c r="G14" i="9" s="1"/>
  <c r="G12" i="9"/>
  <c r="G11" i="9" s="1"/>
  <c r="G10" i="9" s="1"/>
  <c r="D122" i="9"/>
  <c r="D114" i="9"/>
  <c r="D112" i="9"/>
  <c r="D109" i="9"/>
  <c r="G105" i="9"/>
  <c r="G104" i="9" s="1"/>
  <c r="D105" i="9"/>
  <c r="D100" i="9"/>
  <c r="D96" i="9"/>
  <c r="G94" i="9"/>
  <c r="D94" i="9"/>
  <c r="D93" i="9"/>
  <c r="D92" i="9"/>
  <c r="G89" i="9"/>
  <c r="G88" i="9" s="1"/>
  <c r="D89" i="9"/>
  <c r="D85" i="9"/>
  <c r="D81" i="9"/>
  <c r="G69" i="9"/>
  <c r="D67" i="9"/>
  <c r="D64" i="9"/>
  <c r="D63" i="9"/>
  <c r="D58" i="9"/>
  <c r="D55" i="9"/>
  <c r="D51" i="9"/>
  <c r="D47" i="9"/>
  <c r="D45" i="9"/>
  <c r="D42" i="9"/>
  <c r="D40" i="9"/>
  <c r="D38" i="9"/>
  <c r="D35" i="9"/>
  <c r="D31" i="9"/>
  <c r="D29" i="9"/>
  <c r="D25" i="9"/>
  <c r="D23" i="9"/>
  <c r="D18" i="9"/>
  <c r="D16" i="9"/>
  <c r="D14" i="9"/>
  <c r="D12" i="9"/>
  <c r="D11" i="9"/>
  <c r="G61" i="9" l="1"/>
  <c r="G62" i="9" s="1"/>
  <c r="G25" i="9"/>
  <c r="G42" i="9"/>
  <c r="G37" i="9" s="1"/>
  <c r="G99" i="9"/>
  <c r="G98" i="9" s="1"/>
  <c r="G91" i="9"/>
  <c r="G111" i="9"/>
  <c r="G107" i="9" s="1"/>
  <c r="G83" i="9"/>
  <c r="G31" i="9"/>
  <c r="G18" i="9"/>
  <c r="G13" i="9" s="1"/>
  <c r="G80" i="9"/>
  <c r="G79" i="9"/>
  <c r="G53" i="9"/>
  <c r="G22" i="9" l="1"/>
  <c r="G9" i="9" s="1"/>
  <c r="G60" i="9" l="1"/>
  <c r="G124" i="9" s="1"/>
  <c r="G128" i="9" s="1"/>
  <c r="G89" i="8"/>
  <c r="G105" i="8"/>
  <c r="G104" i="8" s="1"/>
  <c r="G103" i="8" s="1"/>
  <c r="E55" i="4" l="1"/>
  <c r="E54" i="4" s="1"/>
  <c r="G29" i="8" l="1"/>
  <c r="E20" i="4" l="1"/>
  <c r="L20" i="4" s="1"/>
  <c r="O20" i="4" s="1"/>
  <c r="G27" i="8" l="1"/>
  <c r="G126" i="8"/>
  <c r="G125" i="8" s="1"/>
  <c r="G124" i="8" s="1"/>
  <c r="G122" i="8"/>
  <c r="G121" i="8" s="1"/>
  <c r="G117" i="8"/>
  <c r="G115" i="8"/>
  <c r="G113" i="8"/>
  <c r="G110" i="8"/>
  <c r="G109" i="8" s="1"/>
  <c r="G101" i="8"/>
  <c r="G99" i="8"/>
  <c r="G92" i="8"/>
  <c r="G91" i="8" s="1"/>
  <c r="G87" i="8"/>
  <c r="G86" i="8" s="1"/>
  <c r="G83" i="8"/>
  <c r="G81" i="8"/>
  <c r="G79" i="8"/>
  <c r="G76" i="8"/>
  <c r="G75" i="8" s="1"/>
  <c r="G73" i="8"/>
  <c r="G72" i="8" s="1"/>
  <c r="G71" i="8" s="1"/>
  <c r="G68" i="8"/>
  <c r="G67" i="8" s="1"/>
  <c r="G62" i="8"/>
  <c r="G60" i="8"/>
  <c r="G58" i="8"/>
  <c r="G56" i="8"/>
  <c r="G54" i="8"/>
  <c r="G52" i="8"/>
  <c r="G50" i="8"/>
  <c r="G45" i="8"/>
  <c r="G44" i="8" s="1"/>
  <c r="G42" i="8"/>
  <c r="G41" i="8" s="1"/>
  <c r="G38" i="8"/>
  <c r="G37" i="8" s="1"/>
  <c r="G36" i="8" s="1"/>
  <c r="G34" i="8"/>
  <c r="G32" i="8"/>
  <c r="G24" i="8"/>
  <c r="G23" i="8" s="1"/>
  <c r="G18" i="8"/>
  <c r="G14" i="8"/>
  <c r="G12" i="8"/>
  <c r="G26" i="8" l="1"/>
  <c r="G78" i="8"/>
  <c r="G70" i="8" s="1"/>
  <c r="G98" i="8"/>
  <c r="G66" i="8"/>
  <c r="G112" i="8"/>
  <c r="G108" i="8" s="1"/>
  <c r="G107" i="8" s="1"/>
  <c r="G40" i="8"/>
  <c r="G85" i="8"/>
  <c r="E51" i="4" l="1"/>
  <c r="L51" i="4" s="1"/>
  <c r="O51" i="4" s="1"/>
  <c r="E45" i="4"/>
  <c r="L45" i="4" s="1"/>
  <c r="O45" i="4" s="1"/>
  <c r="E48" i="4"/>
  <c r="L48" i="4" s="1"/>
  <c r="O48" i="4" s="1"/>
  <c r="E47" i="4"/>
  <c r="L47" i="4" s="1"/>
  <c r="O47" i="4" s="1"/>
  <c r="E25" i="4"/>
  <c r="L25" i="4" s="1"/>
  <c r="O25" i="4" s="1"/>
  <c r="J26" i="4"/>
  <c r="M25" i="4" l="1"/>
  <c r="J23" i="4"/>
  <c r="E23" i="4"/>
  <c r="J22" i="4"/>
  <c r="E22" i="4"/>
  <c r="J25" i="4"/>
  <c r="E46" i="4"/>
  <c r="L46" i="4" s="1"/>
  <c r="O46" i="4" s="1"/>
  <c r="E44" i="4"/>
  <c r="L44" i="4" s="1"/>
  <c r="O44" i="4" s="1"/>
  <c r="L43" i="4"/>
  <c r="O43" i="4" s="1"/>
  <c r="E38" i="4"/>
  <c r="L38" i="4" s="1"/>
  <c r="O38" i="4" s="1"/>
  <c r="E36" i="4"/>
  <c r="L36" i="4" s="1"/>
  <c r="O36" i="4" s="1"/>
  <c r="E19" i="4"/>
  <c r="E18" i="4"/>
  <c r="L18" i="4" s="1"/>
  <c r="O18" i="4" s="1"/>
  <c r="E16" i="4"/>
  <c r="L16" i="4" s="1"/>
  <c r="O16" i="4" s="1"/>
  <c r="E15" i="4"/>
  <c r="L15" i="4" l="1"/>
  <c r="R13" i="4"/>
  <c r="O15" i="4"/>
  <c r="L22" i="4"/>
  <c r="O22" i="4" s="1"/>
  <c r="M22" i="4"/>
  <c r="L23" i="4"/>
  <c r="O23" i="4" s="1"/>
  <c r="M23" i="4"/>
  <c r="J28" i="4"/>
  <c r="E50" i="4"/>
  <c r="E49" i="4" s="1"/>
  <c r="L11" i="4" l="1"/>
  <c r="M13" i="4"/>
  <c r="M11" i="4"/>
  <c r="M28" i="4"/>
  <c r="O28" i="4" s="1"/>
  <c r="O13" i="4"/>
  <c r="O11" i="4"/>
  <c r="L13" i="4"/>
  <c r="I63" i="4"/>
  <c r="I62" i="4" s="1"/>
  <c r="H63" i="4"/>
  <c r="G63" i="4"/>
  <c r="G62" i="4" s="1"/>
  <c r="F63" i="4"/>
  <c r="F62" i="4" s="1"/>
  <c r="E63" i="4"/>
  <c r="E62" i="4" s="1"/>
  <c r="H62" i="4"/>
  <c r="I59" i="4"/>
  <c r="I58" i="4" s="1"/>
  <c r="H59" i="4"/>
  <c r="H58" i="4" s="1"/>
  <c r="G59" i="4"/>
  <c r="G58" i="4" s="1"/>
  <c r="F59" i="4"/>
  <c r="F58" i="4" s="1"/>
  <c r="E59" i="4"/>
  <c r="E58" i="4" s="1"/>
  <c r="I42" i="4"/>
  <c r="H42" i="4"/>
  <c r="G42" i="4"/>
  <c r="G41" i="4" s="1"/>
  <c r="G37" i="4" s="1"/>
  <c r="F42" i="4"/>
  <c r="F41" i="4" s="1"/>
  <c r="F37" i="4" s="1"/>
  <c r="I41" i="4"/>
  <c r="I37" i="4" s="1"/>
  <c r="H41" i="4"/>
  <c r="H37" i="4" s="1"/>
  <c r="E39" i="4"/>
  <c r="E35" i="4"/>
  <c r="E34" i="4"/>
  <c r="E33" i="4" s="1"/>
  <c r="I32" i="4"/>
  <c r="H32" i="4"/>
  <c r="G32" i="4"/>
  <c r="F32" i="4"/>
  <c r="E31" i="4"/>
  <c r="E30" i="4"/>
  <c r="I29" i="4"/>
  <c r="H29" i="4"/>
  <c r="G29" i="4"/>
  <c r="F29" i="4"/>
  <c r="I27" i="4"/>
  <c r="I26" i="4" s="1"/>
  <c r="H27" i="4"/>
  <c r="H26" i="4" s="1"/>
  <c r="G27" i="4"/>
  <c r="G26" i="4" s="1"/>
  <c r="F27" i="4"/>
  <c r="F26" i="4" s="1"/>
  <c r="I22" i="4"/>
  <c r="I21" i="4" s="1"/>
  <c r="H22" i="4"/>
  <c r="H21" i="4" s="1"/>
  <c r="G22" i="4"/>
  <c r="G21" i="4" s="1"/>
  <c r="F22" i="4"/>
  <c r="F21" i="4" s="1"/>
  <c r="F18" i="4"/>
  <c r="F17" i="4" s="1"/>
  <c r="I17" i="4"/>
  <c r="H17" i="4"/>
  <c r="G17" i="4"/>
  <c r="H15" i="4"/>
  <c r="H14" i="4" s="1"/>
  <c r="G15" i="4"/>
  <c r="G14" i="4" s="1"/>
  <c r="F15" i="4"/>
  <c r="F14" i="4" s="1"/>
  <c r="I14" i="4"/>
  <c r="O14" i="4" l="1"/>
  <c r="L14" i="4"/>
  <c r="M14" i="4"/>
  <c r="E14" i="4"/>
  <c r="E24" i="4"/>
  <c r="E17" i="4"/>
  <c r="E42" i="4"/>
  <c r="I13" i="4"/>
  <c r="H57" i="4"/>
  <c r="H53" i="4" s="1"/>
  <c r="H52" i="4" s="1"/>
  <c r="F13" i="4"/>
  <c r="G13" i="4"/>
  <c r="G12" i="4" s="1"/>
  <c r="G11" i="4" s="1"/>
  <c r="H13" i="4"/>
  <c r="H12" i="4" s="1"/>
  <c r="H11" i="4" s="1"/>
  <c r="F12" i="4"/>
  <c r="E29" i="4"/>
  <c r="I12" i="4"/>
  <c r="I11" i="4" s="1"/>
  <c r="F57" i="4"/>
  <c r="F53" i="4" s="1"/>
  <c r="F52" i="4" s="1"/>
  <c r="F11" i="4"/>
  <c r="E21" i="4"/>
  <c r="E57" i="4"/>
  <c r="E53" i="4" s="1"/>
  <c r="G57" i="4"/>
  <c r="G53" i="4" s="1"/>
  <c r="G52" i="4" s="1"/>
  <c r="I57" i="4"/>
  <c r="I53" i="4" s="1"/>
  <c r="I52" i="4" s="1"/>
  <c r="E52" i="4" l="1"/>
  <c r="E13" i="4"/>
  <c r="E12" i="4" s="1"/>
  <c r="E41" i="4"/>
  <c r="H66" i="4"/>
  <c r="I66" i="4"/>
  <c r="G66" i="4"/>
  <c r="F66" i="4"/>
  <c r="E37" i="4" l="1"/>
  <c r="E11" i="4" s="1"/>
  <c r="E66" i="4" l="1"/>
  <c r="R14" i="4"/>
  <c r="G47" i="8" l="1"/>
  <c r="G96" i="8"/>
  <c r="G95" i="8" s="1"/>
  <c r="G94" i="8" s="1"/>
  <c r="G20" i="8"/>
  <c r="G11" i="8" s="1"/>
  <c r="G10" i="8" s="1"/>
  <c r="G9" i="8" l="1"/>
  <c r="G49" i="8"/>
  <c r="G128" i="8" l="1"/>
  <c r="G132" i="8" s="1"/>
  <c r="G137" i="9" l="1"/>
</calcChain>
</file>

<file path=xl/sharedStrings.xml><?xml version="1.0" encoding="utf-8"?>
<sst xmlns="http://schemas.openxmlformats.org/spreadsheetml/2006/main" count="1257" uniqueCount="522">
  <si>
    <t xml:space="preserve">ДОХОДЫ   МЕСТНОГО БЮДЖЕТА МУНИЦИПАЛЬНОГО ОБРАЗОВАНИЯ МУНИЦИПАЛЬНЫЙ ОКРУГ АДМИРАЛТЕЙСКИЙ ОКРУГ  </t>
  </si>
  <si>
    <t>№ п/п</t>
  </si>
  <si>
    <t>Наименование кода дохода  бюджета</t>
  </si>
  <si>
    <t>Сумма тыс.руб.</t>
  </si>
  <si>
    <t>1 квартал</t>
  </si>
  <si>
    <t>2 квартал</t>
  </si>
  <si>
    <t>3 квартал</t>
  </si>
  <si>
    <t>4 квартал</t>
  </si>
  <si>
    <t>I</t>
  </si>
  <si>
    <t>000</t>
  </si>
  <si>
    <t xml:space="preserve"> 1 00 00000 00 0000 000</t>
  </si>
  <si>
    <t>НАЛОГОВЫЕ И НЕНАЛОГОВЫЕ ДОХОДЫ</t>
  </si>
  <si>
    <t>1.1</t>
  </si>
  <si>
    <t xml:space="preserve"> 1 05 00000 00 0000 000</t>
  </si>
  <si>
    <t>НАЛОГИ НА СОВОКУПНЫЙ ДОХОД</t>
  </si>
  <si>
    <t>1.1.1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</si>
  <si>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</si>
  <si>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</si>
  <si>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</si>
  <si>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>1.1.1.1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</si>
  <si>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</si>
  <si>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</si>
  <si>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1.1.1.1.1</t>
  </si>
  <si>
    <t xml:space="preserve"> 1 05 01011 01 0000 110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</si>
  <si>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</si>
  <si>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</si>
  <si>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</si>
  <si>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</si>
  <si>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</si>
  <si>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1.1.1.1.2.1</t>
  </si>
  <si>
    <t xml:space="preserve"> 1 05 01021 01 0000 110</t>
  </si>
  <si>
    <t>1.1.1.1.2.2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</si>
  <si>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</si>
  <si>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</si>
  <si>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1.1.1.1.3</t>
  </si>
  <si>
    <t>1 05 01050 01 0000 110</t>
  </si>
  <si>
    <t>Минимальный налог, зачисляемый в бюджеты субъектов Российской Федерации</t>
  </si>
  <si>
    <t>1.1.2</t>
  </si>
  <si>
    <t xml:space="preserve"> 1 05 02000 02 0000 110</t>
  </si>
  <si>
    <t>Единый налог на вмененный доход для отдельных видов деятельности</t>
  </si>
  <si>
    <t>1.1.2.1</t>
  </si>
  <si>
    <t xml:space="preserve"> 1 05 02010 02 0000 110</t>
  </si>
  <si>
    <t xml:space="preserve">Единый налог на вмененный доход для отдельных видов деятельности </t>
  </si>
  <si>
    <t>1.1.2.2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</si>
  <si>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</si>
  <si>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</si>
  <si>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1.1.3</t>
  </si>
  <si>
    <t>1 05 04000  02 0000 110</t>
  </si>
  <si>
    <t>Налог, взимаемый в связи  с  применением    патентной системы налогообложения</t>
  </si>
  <si>
    <t>1.1.3.1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</si>
  <si>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</si>
  <si>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</si>
  <si>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1.3</t>
  </si>
  <si>
    <t>1.4</t>
  </si>
  <si>
    <t>1 13 00000 00 0000 000</t>
  </si>
  <si>
    <t>1.4.1</t>
  </si>
  <si>
    <t xml:space="preserve"> 1 13 01000 00 0000 130 </t>
  </si>
  <si>
    <t>Доходы от оказания платных услуг (работ)</t>
  </si>
  <si>
    <t>1.4.1.1</t>
  </si>
  <si>
    <t>1 13 01990 00 0000 130</t>
  </si>
  <si>
    <t>Прочие доходы от оказания платных услуг (работ)</t>
  </si>
  <si>
    <t>903</t>
  </si>
  <si>
    <t xml:space="preserve"> 1 13 01993 03 0000 130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</si>
  <si>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</t>
  </si>
  <si>
    <t>1.4.2</t>
  </si>
  <si>
    <t xml:space="preserve">1 13 02000 00 0000 130 </t>
  </si>
  <si>
    <t>Доходы от компенсации затрат государства</t>
  </si>
  <si>
    <t>1.4.2.1</t>
  </si>
  <si>
    <t xml:space="preserve"> 1 13 02990 00 0000 130 </t>
  </si>
  <si>
    <t xml:space="preserve">Прочие доходы от компенсации затрат государства 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</si>
  <si>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</si>
  <si>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</si>
  <si>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</si>
  <si>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</si>
  <si>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1.5</t>
  </si>
  <si>
    <t xml:space="preserve"> 1 16 00000 00 0000 000</t>
  </si>
  <si>
    <t>ШТРАФЫ, САНКЦИИ, ВОЗМЕЩЕНИЕ УЩЕРБА</t>
  </si>
  <si>
    <t>1.5.1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</si>
  <si>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</si>
  <si>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</si>
  <si>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1.5.2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</si>
  <si>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</si>
  <si>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</si>
  <si>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1.5.2.1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</si>
  <si>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</si>
  <si>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</si>
  <si>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</si>
  <si>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1.5.3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</si>
  <si>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</si>
  <si>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</si>
  <si>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</si>
  <si>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</si>
  <si>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806</t>
  </si>
  <si>
    <t>1 16 90030 03 0100 140</t>
  </si>
  <si>
    <t>Штрафы за адмистративные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</t>
  </si>
  <si>
    <t>807</t>
  </si>
  <si>
    <t>808</t>
  </si>
  <si>
    <t>824</t>
  </si>
  <si>
    <t>846</t>
  </si>
  <si>
    <t>1 16 90030 03 0200 140</t>
  </si>
  <si>
    <t>Штрафы за адмистративные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</si>
  <si>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1.6</t>
  </si>
  <si>
    <t>2 00 00000 00 0000 000</t>
  </si>
  <si>
    <t>БЕЗВОЗМЕЗДНЫЕ ПОСТУПЛЕНИЯ</t>
  </si>
  <si>
    <t>1.6.1</t>
  </si>
  <si>
    <t>2 02 00000 00 0000 000</t>
  </si>
  <si>
    <t>БЕЗВОЗМЕЗДНЫЕ ПОСТУПЛЕНИЯ ОТ ДРУГИХ БЮДЖЕТОВ БЮДЖЕТНОЙ  СИСТЕМЫ РОССИЙСКОЙ ФЕДЕРАЦИИ</t>
  </si>
  <si>
    <t>1.6.1.1</t>
  </si>
  <si>
    <t>2 02 03000 00 0000 151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</si>
  <si>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</si>
  <si>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</si>
  <si>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2 02 03 024 03 0000 151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</si>
  <si>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</si>
  <si>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</si>
  <si>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</si>
  <si>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</si>
  <si>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</si>
  <si>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</si>
  <si>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</si>
  <si>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</si>
  <si>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</si>
  <si>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</si>
  <si>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</si>
  <si>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</si>
  <si>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</si>
  <si>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</si>
  <si>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2.1</t>
  </si>
  <si>
    <t>2.1.1.1</t>
  </si>
  <si>
    <t>2</t>
  </si>
  <si>
    <t>2.1.1</t>
  </si>
  <si>
    <t>ДОХОДЫ ОТ ОКАЗАНИЯ ПЛАТНЫХ УСЛУГ (РАБОТ) И КОМПЕНСАЦИИ ЗАТРАТ ГОСУДАРСТВА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</si>
  <si>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</si>
  <si>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</si>
  <si>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</si>
  <si>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</si>
  <si>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</si>
  <si>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</si>
  <si>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2.1.1.1.1</t>
  </si>
  <si>
    <t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</si>
  <si>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МО Адмиралтейский округ</t>
  </si>
  <si>
    <t>к Решению Муниципального Совета</t>
  </si>
  <si>
    <r>
      <t xml:space="preserve">  на </t>
    </r>
    <r>
      <rPr>
        <b/>
        <sz val="13"/>
        <rFont val="Times New Roman"/>
        <family val="1"/>
        <charset val="204"/>
      </rPr>
      <t>2017</t>
    </r>
    <r>
      <rPr>
        <b/>
        <sz val="12"/>
        <rFont val="Times New Roman"/>
        <family val="1"/>
        <charset val="204"/>
      </rPr>
      <t>год</t>
    </r>
  </si>
  <si>
    <t>Приложение № 2</t>
  </si>
  <si>
    <t>к  Решению Муниципального Совета</t>
  </si>
  <si>
    <t>№ п.п</t>
  </si>
  <si>
    <t>Наименование</t>
  </si>
  <si>
    <t>Код ГРБС</t>
  </si>
  <si>
    <t>Код раздела и под-раздела</t>
  </si>
  <si>
    <t>Код ЦСР</t>
  </si>
  <si>
    <t>Код ВР</t>
  </si>
  <si>
    <t>Сумма (тыс.руб.)</t>
  </si>
  <si>
    <t>3</t>
  </si>
  <si>
    <t>4</t>
  </si>
  <si>
    <t>5</t>
  </si>
  <si>
    <t>6</t>
  </si>
  <si>
    <t>I.</t>
  </si>
  <si>
    <t>МЕСТНАЯ АДМИНИСТРАЦИЯ МУНИЦИПЛЬНОГО ОБРАЗОВАНИЯ МУНИЦИПАЛЬНЫЙ ОКРУГ АДМИРАЛТЕЙСКИЙ ОКРУГ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</si>
  <si>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</si>
  <si>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</si>
  <si>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</si>
  <si>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</si>
  <si>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</si>
  <si>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</si>
  <si>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</si>
  <si>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</si>
  <si>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</si>
  <si>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</si>
  <si>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</si>
  <si>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</si>
  <si>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</si>
  <si>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</si>
  <si>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1.2.1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</si>
  <si>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</si>
  <si>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</si>
  <si>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</si>
  <si>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</si>
  <si>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</si>
  <si>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</si>
  <si>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</si>
  <si>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</si>
  <si>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1.1.4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</si>
  <si>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</si>
  <si>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</si>
  <si>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1.1.4.1</t>
  </si>
  <si>
    <t>1.1.4.2</t>
  </si>
  <si>
    <t>РЕЗЕРВНЫЕ ФОНДЫ</t>
  </si>
  <si>
    <t>0111</t>
  </si>
  <si>
    <t>Резервный фонд местной администрации</t>
  </si>
  <si>
    <t>07001 00060</t>
  </si>
  <si>
    <t>1.2.1.1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</si>
  <si>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</si>
  <si>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</si>
  <si>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</si>
  <si>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</si>
  <si>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</si>
  <si>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</si>
  <si>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</si>
  <si>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</si>
  <si>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</si>
  <si>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</si>
  <si>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1.3.2.2</t>
  </si>
  <si>
    <t>1.3.3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</si>
  <si>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</si>
  <si>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79507 00180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</si>
  <si>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</si>
  <si>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</si>
  <si>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</si>
  <si>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</si>
  <si>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1.3.4.1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</si>
  <si>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</si>
  <si>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</si>
  <si>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</si>
  <si>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</si>
  <si>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</si>
  <si>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</si>
  <si>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1.4.1.1.1</t>
  </si>
  <si>
    <t>НАЦИОНАЛЬНАЯ ЭКОНОМИКА</t>
  </si>
  <si>
    <t>0400</t>
  </si>
  <si>
    <t>Общеэкономические вопросы</t>
  </si>
  <si>
    <t>0401</t>
  </si>
  <si>
    <t>1.5.1.1</t>
  </si>
  <si>
    <t>Участие в организации и финансировании проведения временного трудоустройства несовершеннолетних в возрасте от 14-18 лет в свободное от учебы время</t>
  </si>
  <si>
    <t>51001 00100</t>
  </si>
  <si>
    <t>1.5.1.1.1</t>
  </si>
  <si>
    <t>Другие вопросы в области национальной экономики</t>
  </si>
  <si>
    <t>0412</t>
  </si>
  <si>
    <t>Муниципальная   программа "Осуществление защиты прав потребителей и содействие развитию малого бизнеса на территории муниципального образования муниципальный округ Адмиралтейский округ "</t>
  </si>
  <si>
    <t>34500 00100</t>
  </si>
  <si>
    <t>1.5.2.1.1</t>
  </si>
  <si>
    <t>ЖИЛИЩНО-КОММУНАЛЬНОЕ ХОЗЯЙСТВО</t>
  </si>
  <si>
    <t>0500</t>
  </si>
  <si>
    <t>БЛАГОУСТРОЙСТВО</t>
  </si>
  <si>
    <t>0503</t>
  </si>
  <si>
    <t>Мероприятия по благоустройству территорий муниципального образования</t>
  </si>
  <si>
    <t>Муниципальная программа "Установка, содержание и ремонт ограждений газонов"</t>
  </si>
  <si>
    <t>60001 00132</t>
  </si>
  <si>
    <t>1.6.1.2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</si>
  <si>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</si>
  <si>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1.6.1.3.1</t>
  </si>
  <si>
    <t>Муниципальная программа "Озеленение территорий зеленых насаждений внутриквартального озеленения"</t>
  </si>
  <si>
    <t>60003 00151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</si>
  <si>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</si>
  <si>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</si>
  <si>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1.6.1.4</t>
  </si>
  <si>
    <t>Муниципальная программа "Обустройство, содержание  и уборка территории детских площадок"</t>
  </si>
  <si>
    <t>1.6.1.5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</si>
  <si>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</si>
  <si>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1.6.1.6</t>
  </si>
  <si>
    <t>60007 00160</t>
  </si>
  <si>
    <t>1.6.1.7</t>
  </si>
  <si>
    <t>1.7</t>
  </si>
  <si>
    <t>ОХРАНА ОКРУЖАЮЩЕЙ СРЕДЫ</t>
  </si>
  <si>
    <t>0600</t>
  </si>
  <si>
    <t>1.7.1</t>
  </si>
  <si>
    <t>Другие вопросы  в области охраны окружающей среды</t>
  </si>
  <si>
    <t>0605</t>
  </si>
  <si>
    <t>1.7.1.1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</si>
  <si>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</si>
  <si>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</si>
  <si>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1.7.1.1.1</t>
  </si>
  <si>
    <t>1.8</t>
  </si>
  <si>
    <t>ОБРАЗОВАНИЕ</t>
  </si>
  <si>
    <t>0700</t>
  </si>
  <si>
    <t>1.8.1</t>
  </si>
  <si>
    <t>Профессиональная подготовка, переподготовка и повышение квалификации</t>
  </si>
  <si>
    <t>0705</t>
  </si>
  <si>
    <t>1.8.1.1</t>
  </si>
  <si>
    <t>Переподготовка, повышение квалификации</t>
  </si>
  <si>
    <t>42801 00180</t>
  </si>
  <si>
    <t>1.8.1.1.1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</si>
  <si>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</si>
  <si>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1.8.1.1.1.1</t>
  </si>
  <si>
    <t>1.8.2</t>
  </si>
  <si>
    <t>0707</t>
  </si>
  <si>
    <t>1.8.2.1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</si>
  <si>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</si>
  <si>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</si>
  <si>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1.8.2.1.1</t>
  </si>
  <si>
    <t>1.8.3</t>
  </si>
  <si>
    <t>ДРУГИЕ ВОПРОСЫ В ОБЛАСТИ ОБРАЗОВАНИЯ</t>
  </si>
  <si>
    <t>0709</t>
  </si>
  <si>
    <t>1.8.3.1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</si>
  <si>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</si>
  <si>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79506 00510</t>
  </si>
  <si>
    <t>1.8.3.1.1</t>
  </si>
  <si>
    <t>1.8.3.2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</si>
  <si>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</si>
  <si>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</si>
  <si>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1.8.3.2.1</t>
  </si>
  <si>
    <t>1.8.3.3</t>
  </si>
  <si>
    <t>79514 00530</t>
  </si>
  <si>
    <t>1.8.3.3.1</t>
  </si>
  <si>
    <t>1.9</t>
  </si>
  <si>
    <t>КУЛЬТУРА, КИНЕМАТОГРАФИЯ</t>
  </si>
  <si>
    <t>0800</t>
  </si>
  <si>
    <t>1.9.1</t>
  </si>
  <si>
    <t>КУЛЬТУРА</t>
  </si>
  <si>
    <t>0801</t>
  </si>
  <si>
    <t>1.9.1.1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</si>
  <si>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</si>
  <si>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</si>
  <si>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45011 00200</t>
  </si>
  <si>
    <t>1.9.1.1.1</t>
  </si>
  <si>
    <t>1.9.1.2</t>
  </si>
  <si>
    <t>ДРУГИЕ ВОПРОСЫ В ОБЛАСТИ КУЛЬТУРЫ, КИНЕМАТОГРАФИИ</t>
  </si>
  <si>
    <t>0804</t>
  </si>
  <si>
    <t>1.9.1.2.1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</si>
  <si>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</si>
  <si>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45009 00560</t>
  </si>
  <si>
    <t>1.9.1.2.1.1</t>
  </si>
  <si>
    <t>1.10</t>
  </si>
  <si>
    <t>СОЦИАЛЬНАЯ ПОЛИТИКА</t>
  </si>
  <si>
    <t>1000</t>
  </si>
  <si>
    <t>1.10.1</t>
  </si>
  <si>
    <t>СОЦИАЛЬНОЕ ОБЕСПЕЧЕНИЕ НАСЕЛЕНИЯ</t>
  </si>
  <si>
    <t>1003</t>
  </si>
  <si>
    <t>1.10.1.1</t>
  </si>
  <si>
    <t>Расходы на предоставление доплат к пенсии лицам, замещавшим муниципальные должности и должности муниципальной службы</t>
  </si>
  <si>
    <t>50581 00230</t>
  </si>
  <si>
    <t>1.10.1.1.1</t>
  </si>
  <si>
    <t>Социальное обеспечение и иные выплаты населению</t>
  </si>
  <si>
    <t>300</t>
  </si>
  <si>
    <t>1.10.2</t>
  </si>
  <si>
    <t>ОХРАНА СЕМЬИ И ДЕТСВА</t>
  </si>
  <si>
    <t>1004</t>
  </si>
  <si>
    <t>1.10.2.1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</si>
  <si>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</si>
  <si>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</si>
  <si>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1.10.2.1.1</t>
  </si>
  <si>
    <t>1.10.2.2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</si>
  <si>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</si>
  <si>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</si>
  <si>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1.10.2.2.1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</si>
  <si>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</si>
  <si>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</si>
  <si>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</si>
  <si>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2.1.1.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</si>
  <si>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</si>
  <si>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</si>
  <si>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 МО Адмиралтейский округ</t>
  </si>
  <si>
    <t>00201 00010</t>
  </si>
  <si>
    <t>2.1.2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</si>
  <si>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</si>
  <si>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</si>
  <si>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00203 00020</t>
  </si>
  <si>
    <t>2.1.2.1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</si>
  <si>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</si>
  <si>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</si>
  <si>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2.1.2.1.1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</si>
  <si>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</si>
  <si>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2.1.2.2</t>
  </si>
  <si>
    <t>Компенсация депутатам,  осуществляющим свои полномочия на непостоянной основе</t>
  </si>
  <si>
    <t>00203 00022</t>
  </si>
  <si>
    <t>2.1.2.2.1</t>
  </si>
  <si>
    <t>2.1.2.3</t>
  </si>
  <si>
    <t>Аппарат представительного органа муниципального образования</t>
  </si>
  <si>
    <t>2.1.2.3.1</t>
  </si>
  <si>
    <t>00204 00020</t>
  </si>
  <si>
    <t>2.1.2.3.2</t>
  </si>
  <si>
    <t>2.1.2.3.3</t>
  </si>
  <si>
    <t>2.2</t>
  </si>
  <si>
    <t>2.2.1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</si>
  <si>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</si>
  <si>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09205 00440</t>
  </si>
  <si>
    <t>2.2.1.1</t>
  </si>
  <si>
    <t>2.3</t>
  </si>
  <si>
    <t>СРЕДСТВА МАССОВОЙ ИНФОРМАЦИИ</t>
  </si>
  <si>
    <t>1200</t>
  </si>
  <si>
    <t>2.3.1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</si>
  <si>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</si>
  <si>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</si>
  <si>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</si>
  <si>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</si>
  <si>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3.1</t>
  </si>
  <si>
    <t>3.1.1</t>
  </si>
  <si>
    <t>ВСЕГО РАСХОДОВ:</t>
  </si>
  <si>
    <t>2 02 02000 00 0000 151</t>
  </si>
  <si>
    <t>Субсидии бюджетам бюджетной системы Российской Федерации (межбюджетные субсидии)</t>
  </si>
  <si>
    <t>1100</t>
  </si>
  <si>
    <t>1102</t>
  </si>
  <si>
    <t>51200 00240</t>
  </si>
  <si>
    <t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</si>
  <si>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Физическая культура и спорт</t>
  </si>
  <si>
    <t>Массовый спорт</t>
  </si>
  <si>
    <t>1.10.3</t>
  </si>
  <si>
    <t>1.10.3.1</t>
  </si>
  <si>
    <t>1.10.3.1.1</t>
  </si>
  <si>
    <t>1.10.3.1.1.1</t>
  </si>
  <si>
    <t>Муниципальная программа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</si>
  <si>
    <t>Приложение № 3</t>
  </si>
  <si>
    <t>Код эконо-мической статьи</t>
  </si>
  <si>
    <t>7</t>
  </si>
  <si>
    <t>01</t>
  </si>
  <si>
    <t>02</t>
  </si>
  <si>
    <t>01 02</t>
  </si>
  <si>
    <t>03</t>
  </si>
  <si>
    <t xml:space="preserve">Расходы на содержание депутатов муниципального совета </t>
  </si>
  <si>
    <t>01 03</t>
  </si>
  <si>
    <t xml:space="preserve">01 03 </t>
  </si>
  <si>
    <t>04</t>
  </si>
  <si>
    <t>01 04</t>
  </si>
  <si>
    <t>Резервные фонды</t>
  </si>
  <si>
    <t>11</t>
  </si>
  <si>
    <t>01 11</t>
  </si>
  <si>
    <t>Другие общегосударственные вопросы</t>
  </si>
  <si>
    <t>13</t>
  </si>
  <si>
    <t>01 13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</si>
  <si>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</si>
  <si>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 xml:space="preserve"> 09</t>
  </si>
  <si>
    <t>03 09</t>
  </si>
  <si>
    <t xml:space="preserve">04 01 </t>
  </si>
  <si>
    <t>3.2</t>
  </si>
  <si>
    <t>12</t>
  </si>
  <si>
    <t>3.2.1</t>
  </si>
  <si>
    <t>Муниципальная программа "Осуществление защиты  прав потребителей  и  содействие развитию малого  бизнеса на территории муниципального образования муниципальный округ  Адмиралтейский округ "</t>
  </si>
  <si>
    <t>04 12</t>
  </si>
  <si>
    <t>05</t>
  </si>
  <si>
    <t>4.1</t>
  </si>
  <si>
    <t xml:space="preserve"> 03</t>
  </si>
  <si>
    <t>4.1.1</t>
  </si>
  <si>
    <t>05 03</t>
  </si>
  <si>
    <t>60000 00000</t>
  </si>
  <si>
    <t>4.1.1.1</t>
  </si>
  <si>
    <t>4.1.1.2</t>
  </si>
  <si>
    <t>4.1.1.3</t>
  </si>
  <si>
    <t>4.1.1.4</t>
  </si>
  <si>
    <t>4.1.1.5</t>
  </si>
  <si>
    <t>4.1.1.6</t>
  </si>
  <si>
    <t>4.1.1.7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</si>
  <si>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</si>
  <si>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</si>
  <si>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</si>
  <si>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</si>
  <si>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</si>
  <si>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</si>
  <si>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</si>
  <si>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</si>
  <si>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</si>
  <si>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07 07</t>
  </si>
  <si>
    <t>6.3</t>
  </si>
  <si>
    <t>09</t>
  </si>
  <si>
    <t>6.3.1</t>
  </si>
  <si>
    <t>07 09</t>
  </si>
  <si>
    <t>6.3.3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</si>
  <si>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</si>
  <si>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6.3.4</t>
  </si>
  <si>
    <t>08</t>
  </si>
  <si>
    <t>7.1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</si>
  <si>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</si>
  <si>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</si>
  <si>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</si>
  <si>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08 01</t>
  </si>
  <si>
    <t>7.2</t>
  </si>
  <si>
    <t>7.2.1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</si>
  <si>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</si>
  <si>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8</t>
  </si>
  <si>
    <t>10</t>
  </si>
  <si>
    <t>8.1</t>
  </si>
  <si>
    <t>10 03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</si>
  <si>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</si>
  <si>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</si>
  <si>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</si>
  <si>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</si>
  <si>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</si>
  <si>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</si>
  <si>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</si>
  <si>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</si>
  <si>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</si>
  <si>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</si>
  <si>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 xml:space="preserve">Распределение бюджетных ассигнований  местного бюджета муниципального образования  муниципальный округ Адмиралтейский округ  на 2017 год </t>
  </si>
  <si>
    <t xml:space="preserve">Ведомственная  структура расходов  местного бюджета муниципального образования  муниципальный округ Адмиралтейский округ на 2017 год </t>
  </si>
  <si>
    <t>7.1.2</t>
  </si>
  <si>
    <t>11 02</t>
  </si>
  <si>
    <t>10.1</t>
  </si>
  <si>
    <t>10.1.1</t>
  </si>
  <si>
    <t>1.5.4</t>
  </si>
  <si>
    <t>1.5.5</t>
  </si>
  <si>
    <t>1.3.2.1.</t>
  </si>
  <si>
    <t>1.4.3</t>
  </si>
  <si>
    <t>1.4.3.1</t>
  </si>
  <si>
    <t>1.4.3.1.1</t>
  </si>
  <si>
    <t>1.4.3.1.2</t>
  </si>
  <si>
    <t>1.4.3.1.3</t>
  </si>
  <si>
    <t>1.4.3.1.4</t>
  </si>
  <si>
    <t>1.4.3.1.5</t>
  </si>
  <si>
    <t>1.4.3.1.6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</si>
  <si>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 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</si>
  <si>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
новых потенциально опасных психоактивных веществ, 
наркомании в Санкт-Петербурге» </t>
  </si>
  <si>
    <t>Субвенции бюджетам бюджетной системы Российской Федерации</t>
  </si>
  <si>
    <t>МОЛОДЕЖНАЯ ПОЛИТИКА</t>
  </si>
  <si>
    <t>60002 00133</t>
  </si>
  <si>
    <t>60004 00152</t>
  </si>
  <si>
    <t>60005 00153</t>
  </si>
  <si>
    <t>60006 00160</t>
  </si>
  <si>
    <t>1.6.1.1.1</t>
  </si>
  <si>
    <t>1.6.1.2.1</t>
  </si>
  <si>
    <t>1.6.1.3.</t>
  </si>
  <si>
    <t>1.6.1.4.1</t>
  </si>
  <si>
    <t>1.6.1.5.1</t>
  </si>
  <si>
    <t>1.6.1.6.1</t>
  </si>
  <si>
    <t>1.6.1.7.1</t>
  </si>
  <si>
    <t>1.6.1.8</t>
  </si>
  <si>
    <t>1.6.1.8.1</t>
  </si>
  <si>
    <t>45012 00210</t>
  </si>
  <si>
    <t>4.1.1.8</t>
  </si>
  <si>
    <t>Расходы  по решению вопросов местного значения за счет средств  субсидии на благоустройство территории муниципального образования</t>
  </si>
  <si>
    <t>99000 01590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</si>
  <si>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</si>
  <si>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</si>
  <si>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</si>
  <si>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</t>
  </si>
  <si>
    <t>2.1.2.1.1.1</t>
  </si>
  <si>
    <t>2.1.2.1.1.2</t>
  </si>
  <si>
    <t>2.1.2.1.2</t>
  </si>
  <si>
    <t>2.1.2.1.2.1</t>
  </si>
  <si>
    <t>2.1.2.1.2.1.1</t>
  </si>
  <si>
    <t>2.1.2.1.2.1.2</t>
  </si>
  <si>
    <t>141,2 ос и 226</t>
  </si>
  <si>
    <t>Приложение № 1</t>
  </si>
  <si>
    <t>от 21 декабря 2016 года № 23</t>
  </si>
  <si>
    <t>Код админи-стратора</t>
  </si>
  <si>
    <t>Код источника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</si>
</sst>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[=10860108.22]&quot;10 860 108.22&quot;;General"/>
    <numFmt numFmtId="167" formatCode="[=8408334.34]&quot;8 408 334.34&quot;;General"/>
    <numFmt numFmtId="168" formatCode="[=2471880.58]&quot;2 471 880.58&quot;;General"/>
    <numFmt numFmtId="169" formatCode="[=4666077.32]&quot;4 666 077.32&quot;;General"/>
    <numFmt numFmtId="170" formatCode="[=17923658.95]&quot;17 923 658.95&quot;;General"/>
    <numFmt numFmtId="171" formatCode="[=24471019.8]&quot;24 471 019.80&quot;;General"/>
    <numFmt numFmtId="172" formatCode="0000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Arial Cyr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3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sz val="13"/>
      <name val="Arial Cyr"/>
      <family val="2"/>
      <charset val="204"/>
    </font>
    <font>
      <sz val="14"/>
      <name val="Arial Cyr"/>
      <charset val="204"/>
    </font>
    <font>
      <sz val="13"/>
      <name val="Arial Cyr"/>
      <charset val="204"/>
    </font>
    <font>
      <b/>
      <sz val="16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3"/>
      <name val="Arial Cyr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  <font>
      <i/>
      <sz val="9"/>
      <name val="Arial"/>
      <family val="2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9"/>
      <name val="Arial Cyr"/>
      <family val="2"/>
      <charset val="204"/>
    </font>
    <font>
      <b/>
      <u/>
      <sz val="14"/>
      <name val="Arial Cyr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4"/>
      <name val="Times"/>
      <family val="1"/>
    </font>
    <font>
      <b/>
      <sz val="14"/>
      <name val="Times"/>
      <family val="1"/>
    </font>
    <font>
      <b/>
      <sz val="14"/>
      <color theme="1"/>
      <name val="Times New Roman"/>
      <family val="1"/>
      <charset val="204"/>
    </font>
    <font>
      <b/>
      <sz val="18"/>
      <name val="Arial Cyr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0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5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18">
    <xf numFmtId="0" fontId="0" fillId="0" borderId="0" xfId="0"/>
    <xf numFmtId="0" fontId="7" fillId="0" borderId="0" xfId="1" applyFont="1"/>
    <xf numFmtId="0" fontId="5" fillId="0" borderId="0" xfId="1"/>
    <xf numFmtId="0" fontId="5" fillId="0" borderId="0" xfId="1" applyAlignment="1">
      <alignment horizontal="right"/>
    </xf>
    <xf numFmtId="0" fontId="8" fillId="0" borderId="0" xfId="2" applyFont="1" applyAlignment="1">
      <alignment horizontal="right"/>
    </xf>
    <xf numFmtId="0" fontId="8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49" fontId="9" fillId="0" borderId="0" xfId="1" applyNumberFormat="1" applyFont="1" applyAlignment="1">
      <alignment horizontal="right"/>
    </xf>
    <xf numFmtId="14" fontId="6" fillId="0" borderId="0" xfId="1" applyNumberFormat="1" applyFont="1" applyAlignment="1">
      <alignment horizontal="right"/>
    </xf>
    <xf numFmtId="0" fontId="8" fillId="0" borderId="0" xfId="1" applyFont="1"/>
    <xf numFmtId="0" fontId="8" fillId="0" borderId="0" xfId="2" applyFont="1"/>
    <xf numFmtId="0" fontId="13" fillId="0" borderId="0" xfId="1" applyFont="1"/>
    <xf numFmtId="0" fontId="12" fillId="0" borderId="0" xfId="1" applyFont="1" applyAlignment="1"/>
    <xf numFmtId="0" fontId="12" fillId="0" borderId="0" xfId="2" applyFont="1" applyBorder="1" applyAlignment="1">
      <alignment horizontal="left" wrapText="1"/>
    </xf>
    <xf numFmtId="0" fontId="4" fillId="0" borderId="0" xfId="2"/>
    <xf numFmtId="0" fontId="15" fillId="0" borderId="0" xfId="1" applyFont="1"/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2" fontId="15" fillId="0" borderId="6" xfId="1" applyNumberFormat="1" applyFont="1" applyBorder="1" applyAlignment="1">
      <alignment horizontal="center" vertical="center"/>
    </xf>
    <xf numFmtId="2" fontId="15" fillId="0" borderId="5" xfId="1" applyNumberFormat="1" applyFont="1" applyBorder="1" applyAlignment="1">
      <alignment horizontal="center" vertical="center"/>
    </xf>
    <xf numFmtId="2" fontId="15" fillId="0" borderId="7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49" fontId="6" fillId="2" borderId="11" xfId="1" applyNumberFormat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left" vertical="center" wrapText="1"/>
    </xf>
    <xf numFmtId="164" fontId="17" fillId="3" borderId="8" xfId="1" applyNumberFormat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/>
    </xf>
    <xf numFmtId="164" fontId="9" fillId="4" borderId="11" xfId="1" applyNumberFormat="1" applyFont="1" applyFill="1" applyBorder="1" applyAlignment="1">
      <alignment horizontal="center" vertical="center" wrapText="1"/>
    </xf>
    <xf numFmtId="164" fontId="18" fillId="0" borderId="11" xfId="1" applyNumberFormat="1" applyFont="1" applyBorder="1" applyAlignment="1">
      <alignment horizontal="center" vertical="center" wrapText="1"/>
    </xf>
    <xf numFmtId="164" fontId="12" fillId="5" borderId="11" xfId="1" applyNumberFormat="1" applyFont="1" applyFill="1" applyBorder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center" vertical="center"/>
    </xf>
    <xf numFmtId="49" fontId="11" fillId="2" borderId="11" xfId="1" applyNumberFormat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left" vertical="center" wrapText="1"/>
    </xf>
    <xf numFmtId="164" fontId="8" fillId="0" borderId="11" xfId="1" applyNumberFormat="1" applyFont="1" applyBorder="1" applyAlignment="1">
      <alignment horizontal="center" vertical="center" wrapText="1"/>
    </xf>
    <xf numFmtId="164" fontId="19" fillId="2" borderId="11" xfId="1" applyNumberFormat="1" applyFont="1" applyFill="1" applyBorder="1" applyAlignment="1">
      <alignment horizontal="center" vertical="center" wrapText="1"/>
    </xf>
    <xf numFmtId="164" fontId="8" fillId="2" borderId="11" xfId="1" applyNumberFormat="1" applyFont="1" applyFill="1" applyBorder="1" applyAlignment="1">
      <alignment horizontal="center" vertical="center" wrapText="1"/>
    </xf>
    <xf numFmtId="164" fontId="8" fillId="0" borderId="11" xfId="1" applyNumberFormat="1" applyFont="1" applyFill="1" applyBorder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left" vertical="center" wrapText="1"/>
    </xf>
    <xf numFmtId="164" fontId="18" fillId="6" borderId="11" xfId="1" applyNumberFormat="1" applyFont="1" applyFill="1" applyBorder="1" applyAlignment="1">
      <alignment horizontal="center" vertical="center" wrapText="1"/>
    </xf>
    <xf numFmtId="49" fontId="11" fillId="0" borderId="11" xfId="1" applyNumberFormat="1" applyFont="1" applyFill="1" applyBorder="1" applyAlignment="1">
      <alignment horizontal="center" vertical="center"/>
    </xf>
    <xf numFmtId="49" fontId="11" fillId="0" borderId="11" xfId="1" applyNumberFormat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left" vertical="center" wrapText="1"/>
    </xf>
    <xf numFmtId="164" fontId="11" fillId="0" borderId="11" xfId="1" applyNumberFormat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wrapText="1"/>
    </xf>
    <xf numFmtId="3" fontId="6" fillId="2" borderId="11" xfId="1" applyNumberFormat="1" applyFont="1" applyFill="1" applyBorder="1" applyAlignment="1">
      <alignment horizontal="center" vertical="center" wrapText="1"/>
    </xf>
    <xf numFmtId="3" fontId="11" fillId="2" borderId="11" xfId="1" applyNumberFormat="1" applyFont="1" applyFill="1" applyBorder="1" applyAlignment="1">
      <alignment horizontal="center" vertical="center" wrapText="1"/>
    </xf>
    <xf numFmtId="164" fontId="20" fillId="0" borderId="11" xfId="1" applyNumberFormat="1" applyFont="1" applyBorder="1" applyAlignment="1">
      <alignment horizontal="center" vertical="center" wrapText="1"/>
    </xf>
    <xf numFmtId="164" fontId="14" fillId="0" borderId="11" xfId="1" applyNumberFormat="1" applyFont="1" applyBorder="1" applyAlignment="1">
      <alignment horizontal="center" vertical="center" wrapText="1"/>
    </xf>
    <xf numFmtId="0" fontId="6" fillId="2" borderId="11" xfId="1" applyNumberFormat="1" applyFont="1" applyFill="1" applyBorder="1" applyAlignment="1">
      <alignment horizontal="center" vertical="center" wrapText="1"/>
    </xf>
    <xf numFmtId="164" fontId="21" fillId="0" borderId="11" xfId="1" applyNumberFormat="1" applyFont="1" applyFill="1" applyBorder="1" applyAlignment="1">
      <alignment horizontal="center" vertical="center" wrapText="1"/>
    </xf>
    <xf numFmtId="164" fontId="22" fillId="0" borderId="11" xfId="1" applyNumberFormat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vertical="center" wrapText="1"/>
    </xf>
    <xf numFmtId="0" fontId="11" fillId="2" borderId="11" xfId="1" applyFont="1" applyFill="1" applyBorder="1" applyAlignment="1">
      <alignment vertical="center" wrapText="1"/>
    </xf>
    <xf numFmtId="3" fontId="11" fillId="0" borderId="11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 wrapText="1"/>
    </xf>
    <xf numFmtId="164" fontId="21" fillId="2" borderId="11" xfId="1" applyNumberFormat="1" applyFont="1" applyFill="1" applyBorder="1" applyAlignment="1">
      <alignment horizontal="center" vertical="center" wrapText="1"/>
    </xf>
    <xf numFmtId="164" fontId="19" fillId="0" borderId="11" xfId="1" applyNumberFormat="1" applyFont="1" applyFill="1" applyBorder="1" applyAlignment="1">
      <alignment horizontal="center" vertical="center" wrapText="1"/>
    </xf>
    <xf numFmtId="165" fontId="19" fillId="0" borderId="11" xfId="1" applyNumberFormat="1" applyFont="1" applyBorder="1" applyAlignment="1">
      <alignment horizontal="center" vertical="center"/>
    </xf>
    <xf numFmtId="0" fontId="11" fillId="2" borderId="11" xfId="2" applyNumberFormat="1" applyFont="1" applyFill="1" applyBorder="1" applyAlignment="1">
      <alignment vertical="center" wrapText="1"/>
    </xf>
    <xf numFmtId="0" fontId="6" fillId="7" borderId="11" xfId="1" applyFont="1" applyFill="1" applyBorder="1" applyAlignment="1">
      <alignment horizontal="center" vertical="center"/>
    </xf>
    <xf numFmtId="0" fontId="6" fillId="7" borderId="11" xfId="1" applyFont="1" applyFill="1" applyBorder="1" applyAlignment="1">
      <alignment horizontal="left" vertical="center" wrapText="1"/>
    </xf>
    <xf numFmtId="164" fontId="6" fillId="7" borderId="11" xfId="1" applyNumberFormat="1" applyFont="1" applyFill="1" applyBorder="1" applyAlignment="1">
      <alignment horizontal="center" vertical="center" wrapText="1"/>
    </xf>
    <xf numFmtId="164" fontId="23" fillId="8" borderId="11" xfId="1" applyNumberFormat="1" applyFont="1" applyFill="1" applyBorder="1" applyAlignment="1">
      <alignment horizontal="center" vertical="center" wrapText="1"/>
    </xf>
    <xf numFmtId="0" fontId="24" fillId="0" borderId="0" xfId="2" applyFont="1" applyAlignment="1">
      <alignment vertical="center"/>
    </xf>
    <xf numFmtId="164" fontId="5" fillId="0" borderId="0" xfId="1" applyNumberFormat="1" applyAlignment="1">
      <alignment horizontal="center"/>
    </xf>
    <xf numFmtId="0" fontId="29" fillId="0" borderId="0" xfId="0" applyFont="1"/>
    <xf numFmtId="164" fontId="5" fillId="0" borderId="0" xfId="1" applyNumberFormat="1"/>
    <xf numFmtId="0" fontId="0" fillId="0" borderId="0" xfId="0" applyBorder="1"/>
    <xf numFmtId="164" fontId="9" fillId="4" borderId="13" xfId="1" applyNumberFormat="1" applyFont="1" applyFill="1" applyBorder="1" applyAlignment="1">
      <alignment horizontal="center" vertical="center" wrapText="1"/>
    </xf>
    <xf numFmtId="164" fontId="9" fillId="4" borderId="0" xfId="1" applyNumberFormat="1" applyFont="1" applyFill="1" applyBorder="1" applyAlignment="1">
      <alignment horizontal="center" vertical="center" wrapText="1"/>
    </xf>
    <xf numFmtId="164" fontId="12" fillId="5" borderId="13" xfId="1" applyNumberFormat="1" applyFont="1" applyFill="1" applyBorder="1" applyAlignment="1">
      <alignment horizontal="center" vertical="center" wrapText="1"/>
    </xf>
    <xf numFmtId="164" fontId="30" fillId="0" borderId="11" xfId="1" applyNumberFormat="1" applyFont="1" applyBorder="1" applyAlignment="1">
      <alignment horizontal="center" vertical="center" wrapText="1"/>
    </xf>
    <xf numFmtId="0" fontId="29" fillId="0" borderId="0" xfId="0" applyFont="1" applyBorder="1"/>
    <xf numFmtId="0" fontId="5" fillId="0" borderId="0" xfId="1" applyBorder="1"/>
    <xf numFmtId="0" fontId="10" fillId="0" borderId="0" xfId="1" applyFont="1" applyAlignment="1">
      <alignment horizontal="right"/>
    </xf>
    <xf numFmtId="4" fontId="0" fillId="0" borderId="0" xfId="0" applyNumberFormat="1" applyBorder="1"/>
    <xf numFmtId="2" fontId="15" fillId="0" borderId="0" xfId="1" applyNumberFormat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164" fontId="17" fillId="3" borderId="13" xfId="1" applyNumberFormat="1" applyFont="1" applyFill="1" applyBorder="1" applyAlignment="1">
      <alignment horizontal="center" vertical="center" wrapText="1"/>
    </xf>
    <xf numFmtId="164" fontId="18" fillId="0" borderId="13" xfId="1" applyNumberFormat="1" applyFont="1" applyBorder="1" applyAlignment="1">
      <alignment horizontal="center" vertical="center" wrapText="1"/>
    </xf>
    <xf numFmtId="164" fontId="8" fillId="0" borderId="13" xfId="1" applyNumberFormat="1" applyFont="1" applyBorder="1" applyAlignment="1">
      <alignment horizontal="center" vertical="center" wrapText="1"/>
    </xf>
    <xf numFmtId="164" fontId="19" fillId="2" borderId="13" xfId="1" applyNumberFormat="1" applyFont="1" applyFill="1" applyBorder="1" applyAlignment="1">
      <alignment horizontal="center" vertical="center" wrapText="1"/>
    </xf>
    <xf numFmtId="164" fontId="8" fillId="2" borderId="13" xfId="1" applyNumberFormat="1" applyFont="1" applyFill="1" applyBorder="1" applyAlignment="1">
      <alignment horizontal="center" vertical="center" wrapText="1"/>
    </xf>
    <xf numFmtId="164" fontId="8" fillId="0" borderId="13" xfId="1" applyNumberFormat="1" applyFont="1" applyFill="1" applyBorder="1" applyAlignment="1">
      <alignment horizontal="center" vertical="center" wrapText="1"/>
    </xf>
    <xf numFmtId="164" fontId="18" fillId="6" borderId="13" xfId="1" applyNumberFormat="1" applyFont="1" applyFill="1" applyBorder="1" applyAlignment="1">
      <alignment horizontal="center" vertical="center" wrapText="1"/>
    </xf>
    <xf numFmtId="164" fontId="20" fillId="0" borderId="0" xfId="1" applyNumberFormat="1" applyFont="1" applyBorder="1" applyAlignment="1">
      <alignment horizontal="center" vertical="center" wrapText="1"/>
    </xf>
    <xf numFmtId="164" fontId="14" fillId="0" borderId="0" xfId="1" applyNumberFormat="1" applyFont="1" applyBorder="1" applyAlignment="1">
      <alignment horizontal="center" vertical="center" wrapText="1"/>
    </xf>
    <xf numFmtId="164" fontId="30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2" fillId="0" borderId="0" xfId="1" applyNumberFormat="1" applyFont="1" applyFill="1" applyBorder="1" applyAlignment="1">
      <alignment horizontal="center" vertical="center" wrapText="1"/>
    </xf>
    <xf numFmtId="164" fontId="19" fillId="2" borderId="0" xfId="1" applyNumberFormat="1" applyFont="1" applyFill="1" applyBorder="1" applyAlignment="1">
      <alignment horizontal="center" vertical="center" wrapText="1"/>
    </xf>
    <xf numFmtId="164" fontId="21" fillId="2" borderId="0" xfId="1" applyNumberFormat="1" applyFont="1" applyFill="1" applyBorder="1" applyAlignment="1">
      <alignment horizontal="center" vertical="center" wrapText="1"/>
    </xf>
    <xf numFmtId="164" fontId="19" fillId="0" borderId="0" xfId="1" applyNumberFormat="1" applyFont="1" applyFill="1" applyBorder="1" applyAlignment="1">
      <alignment horizontal="center" vertical="center" wrapText="1"/>
    </xf>
    <xf numFmtId="165" fontId="19" fillId="0" borderId="0" xfId="1" applyNumberFormat="1" applyFont="1" applyBorder="1" applyAlignment="1">
      <alignment horizontal="center" vertical="center"/>
    </xf>
    <xf numFmtId="164" fontId="23" fillId="8" borderId="0" xfId="1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6" fillId="0" borderId="11" xfId="1" applyNumberFormat="1" applyFont="1" applyFill="1" applyBorder="1" applyAlignment="1">
      <alignment horizontal="center" vertical="center" wrapText="1"/>
    </xf>
    <xf numFmtId="164" fontId="20" fillId="0" borderId="13" xfId="1" applyNumberFormat="1" applyFont="1" applyBorder="1" applyAlignment="1">
      <alignment horizontal="center" vertical="center" wrapText="1"/>
    </xf>
    <xf numFmtId="164" fontId="17" fillId="3" borderId="0" xfId="1" applyNumberFormat="1" applyFont="1" applyFill="1" applyBorder="1" applyAlignment="1">
      <alignment horizontal="center" vertical="center" wrapText="1"/>
    </xf>
    <xf numFmtId="164" fontId="18" fillId="0" borderId="0" xfId="1" applyNumberFormat="1" applyFont="1" applyBorder="1" applyAlignment="1">
      <alignment horizontal="center" vertical="center" wrapText="1"/>
    </xf>
    <xf numFmtId="164" fontId="12" fillId="5" borderId="0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 vertical="center" wrapText="1"/>
    </xf>
    <xf numFmtId="164" fontId="8" fillId="2" borderId="0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164" fontId="18" fillId="6" borderId="0" xfId="1" applyNumberFormat="1" applyFont="1" applyFill="1" applyBorder="1" applyAlignment="1">
      <alignment horizontal="center" vertical="center" wrapText="1"/>
    </xf>
    <xf numFmtId="164" fontId="20" fillId="0" borderId="0" xfId="1" applyNumberFormat="1" applyFont="1" applyFill="1" applyBorder="1" applyAlignment="1">
      <alignment horizontal="center" vertical="center" wrapText="1"/>
    </xf>
    <xf numFmtId="164" fontId="8" fillId="0" borderId="12" xfId="1" applyNumberFormat="1" applyFont="1" applyBorder="1" applyAlignment="1">
      <alignment horizontal="center" vertical="center" wrapText="1"/>
    </xf>
    <xf numFmtId="164" fontId="12" fillId="5" borderId="12" xfId="1" applyNumberFormat="1" applyFont="1" applyFill="1" applyBorder="1" applyAlignment="1">
      <alignment horizontal="center" vertical="center" wrapText="1"/>
    </xf>
    <xf numFmtId="164" fontId="19" fillId="2" borderId="12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 wrapText="1"/>
    </xf>
    <xf numFmtId="164" fontId="11" fillId="2" borderId="13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9" fontId="0" fillId="0" borderId="0" xfId="0" applyNumberFormat="1"/>
    <xf numFmtId="170" fontId="33" fillId="0" borderId="0" xfId="24" applyNumberFormat="1" applyFont="1" applyBorder="1" applyAlignment="1">
      <alignment horizontal="right"/>
    </xf>
    <xf numFmtId="166" fontId="32" fillId="0" borderId="0" xfId="24" applyNumberFormat="1" applyFont="1" applyBorder="1" applyAlignment="1">
      <alignment horizontal="right"/>
    </xf>
    <xf numFmtId="167" fontId="33" fillId="0" borderId="0" xfId="24" applyNumberFormat="1" applyFont="1" applyBorder="1" applyAlignment="1">
      <alignment horizontal="right"/>
    </xf>
    <xf numFmtId="167" fontId="0" fillId="0" borderId="0" xfId="0" applyNumberFormat="1" applyBorder="1"/>
    <xf numFmtId="169" fontId="33" fillId="0" borderId="0" xfId="24" applyNumberFormat="1" applyFont="1" applyBorder="1" applyAlignment="1">
      <alignment horizontal="right"/>
    </xf>
    <xf numFmtId="168" fontId="33" fillId="0" borderId="0" xfId="24" applyNumberFormat="1" applyFont="1" applyBorder="1" applyAlignment="1">
      <alignment horizontal="right"/>
    </xf>
    <xf numFmtId="171" fontId="34" fillId="0" borderId="0" xfId="24" applyNumberFormat="1" applyFont="1" applyBorder="1" applyAlignment="1">
      <alignment horizontal="right"/>
    </xf>
    <xf numFmtId="164" fontId="6" fillId="0" borderId="8" xfId="1" applyNumberFormat="1" applyFont="1" applyFill="1" applyBorder="1" applyAlignment="1">
      <alignment horizontal="center" vertical="center" wrapText="1"/>
    </xf>
    <xf numFmtId="164" fontId="35" fillId="0" borderId="0" xfId="0" applyNumberFormat="1" applyFont="1" applyBorder="1"/>
    <xf numFmtId="0" fontId="12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49" fontId="7" fillId="0" borderId="0" xfId="1" applyNumberFormat="1" applyFont="1" applyAlignment="1">
      <alignment horizontal="left"/>
    </xf>
    <xf numFmtId="49" fontId="7" fillId="0" borderId="0" xfId="1" applyNumberFormat="1" applyFont="1" applyAlignment="1">
      <alignment horizontal="center"/>
    </xf>
    <xf numFmtId="49" fontId="5" fillId="0" borderId="0" xfId="1" applyNumberFormat="1" applyAlignment="1">
      <alignment horizontal="center"/>
    </xf>
    <xf numFmtId="0" fontId="6" fillId="0" borderId="0" xfId="1" applyFont="1" applyAlignment="1"/>
    <xf numFmtId="49" fontId="37" fillId="0" borderId="0" xfId="1" applyNumberFormat="1" applyFont="1"/>
    <xf numFmtId="49" fontId="5" fillId="0" borderId="0" xfId="1" applyNumberFormat="1" applyAlignment="1">
      <alignment wrapText="1"/>
    </xf>
    <xf numFmtId="0" fontId="6" fillId="0" borderId="0" xfId="1" applyFont="1" applyFill="1" applyAlignment="1"/>
    <xf numFmtId="0" fontId="6" fillId="0" borderId="0" xfId="1" applyFont="1" applyFill="1" applyAlignment="1">
      <alignment horizontal="right"/>
    </xf>
    <xf numFmtId="49" fontId="6" fillId="0" borderId="0" xfId="1" applyNumberFormat="1" applyFont="1" applyFill="1" applyAlignment="1">
      <alignment horizontal="center" wrapText="1"/>
    </xf>
    <xf numFmtId="49" fontId="7" fillId="0" borderId="0" xfId="1" applyNumberFormat="1" applyFont="1" applyFill="1" applyAlignment="1">
      <alignment wrapText="1"/>
    </xf>
    <xf numFmtId="49" fontId="7" fillId="0" borderId="0" xfId="1" applyNumberFormat="1" applyFont="1" applyFill="1" applyAlignment="1">
      <alignment horizontal="center"/>
    </xf>
    <xf numFmtId="49" fontId="37" fillId="0" borderId="0" xfId="1" applyNumberFormat="1" applyFont="1" applyAlignment="1">
      <alignment horizontal="center"/>
    </xf>
    <xf numFmtId="49" fontId="9" fillId="0" borderId="0" xfId="1" applyNumberFormat="1" applyFont="1" applyAlignment="1">
      <alignment horizontal="center" wrapText="1"/>
    </xf>
    <xf numFmtId="49" fontId="8" fillId="0" borderId="0" xfId="1" applyNumberFormat="1" applyFont="1" applyAlignment="1">
      <alignment horizontal="center" wrapText="1"/>
    </xf>
    <xf numFmtId="49" fontId="8" fillId="0" borderId="0" xfId="1" applyNumberFormat="1" applyFont="1" applyAlignment="1">
      <alignment horizontal="center"/>
    </xf>
    <xf numFmtId="0" fontId="19" fillId="0" borderId="0" xfId="1" applyFont="1" applyAlignment="1">
      <alignment horizontal="center"/>
    </xf>
    <xf numFmtId="49" fontId="12" fillId="0" borderId="11" xfId="1" applyNumberFormat="1" applyFont="1" applyFill="1" applyBorder="1" applyAlignment="1">
      <alignment horizontal="center" vertical="center" wrapText="1"/>
    </xf>
    <xf numFmtId="9" fontId="12" fillId="0" borderId="11" xfId="1" applyNumberFormat="1" applyFont="1" applyFill="1" applyBorder="1" applyAlignment="1">
      <alignment horizontal="center" vertical="center" wrapText="1"/>
    </xf>
    <xf numFmtId="0" fontId="0" fillId="0" borderId="0" xfId="0" applyFill="1"/>
    <xf numFmtId="49" fontId="8" fillId="0" borderId="8" xfId="1" applyNumberFormat="1" applyFont="1" applyFill="1" applyBorder="1" applyAlignment="1">
      <alignment horizontal="center" wrapText="1"/>
    </xf>
    <xf numFmtId="0" fontId="8" fillId="0" borderId="8" xfId="1" applyFont="1" applyFill="1" applyBorder="1" applyAlignment="1">
      <alignment horizontal="center" wrapText="1"/>
    </xf>
    <xf numFmtId="49" fontId="39" fillId="0" borderId="11" xfId="1" applyNumberFormat="1" applyFont="1" applyFill="1" applyBorder="1" applyAlignment="1">
      <alignment horizontal="center" wrapText="1"/>
    </xf>
    <xf numFmtId="0" fontId="40" fillId="0" borderId="12" xfId="1" applyFont="1" applyFill="1" applyBorder="1" applyAlignment="1">
      <alignment wrapText="1"/>
    </xf>
    <xf numFmtId="0" fontId="40" fillId="0" borderId="12" xfId="1" applyFont="1" applyFill="1" applyBorder="1" applyAlignment="1">
      <alignment horizontal="center" wrapText="1"/>
    </xf>
    <xf numFmtId="49" fontId="40" fillId="0" borderId="11" xfId="1" applyNumberFormat="1" applyFont="1" applyFill="1" applyBorder="1" applyAlignment="1">
      <alignment horizontal="center" wrapText="1"/>
    </xf>
    <xf numFmtId="164" fontId="40" fillId="0" borderId="11" xfId="1" applyNumberFormat="1" applyFont="1" applyFill="1" applyBorder="1" applyAlignment="1">
      <alignment horizontal="center" wrapText="1"/>
    </xf>
    <xf numFmtId="49" fontId="40" fillId="0" borderId="8" xfId="1" applyNumberFormat="1" applyFont="1" applyFill="1" applyBorder="1" applyAlignment="1">
      <alignment horizontal="center" wrapText="1"/>
    </xf>
    <xf numFmtId="49" fontId="40" fillId="0" borderId="8" xfId="1" applyNumberFormat="1" applyFont="1" applyFill="1" applyBorder="1" applyAlignment="1">
      <alignment horizontal="left" wrapText="1"/>
    </xf>
    <xf numFmtId="164" fontId="40" fillId="0" borderId="8" xfId="1" applyNumberFormat="1" applyFont="1" applyFill="1" applyBorder="1" applyAlignment="1">
      <alignment horizontal="center" wrapText="1"/>
    </xf>
    <xf numFmtId="49" fontId="11" fillId="0" borderId="11" xfId="1" applyNumberFormat="1" applyFont="1" applyFill="1" applyBorder="1" applyAlignment="1">
      <alignment horizontal="center" wrapText="1"/>
    </xf>
    <xf numFmtId="164" fontId="11" fillId="0" borderId="11" xfId="1" applyNumberFormat="1" applyFont="1" applyFill="1" applyBorder="1" applyAlignment="1">
      <alignment horizontal="center" wrapText="1"/>
    </xf>
    <xf numFmtId="49" fontId="11" fillId="0" borderId="8" xfId="1" applyNumberFormat="1" applyFont="1" applyFill="1" applyBorder="1" applyAlignment="1">
      <alignment horizontal="left" wrapText="1"/>
    </xf>
    <xf numFmtId="49" fontId="11" fillId="0" borderId="8" xfId="1" applyNumberFormat="1" applyFont="1" applyFill="1" applyBorder="1" applyAlignment="1">
      <alignment horizontal="center" wrapText="1"/>
    </xf>
    <xf numFmtId="164" fontId="11" fillId="0" borderId="8" xfId="1" applyNumberFormat="1" applyFont="1" applyFill="1" applyBorder="1" applyAlignment="1">
      <alignment horizontal="center" wrapText="1"/>
    </xf>
    <xf numFmtId="49" fontId="11" fillId="0" borderId="11" xfId="1" applyNumberFormat="1" applyFont="1" applyFill="1" applyBorder="1" applyAlignment="1">
      <alignment horizontal="left" wrapText="1"/>
    </xf>
    <xf numFmtId="0" fontId="41" fillId="0" borderId="11" xfId="25" applyFont="1" applyFill="1" applyBorder="1" applyAlignment="1">
      <alignment wrapText="1"/>
    </xf>
    <xf numFmtId="49" fontId="11" fillId="0" borderId="11" xfId="1" applyNumberFormat="1" applyFont="1" applyFill="1" applyBorder="1" applyAlignment="1">
      <alignment wrapText="1"/>
    </xf>
    <xf numFmtId="49" fontId="11" fillId="0" borderId="9" xfId="1" applyNumberFormat="1" applyFont="1" applyFill="1" applyBorder="1" applyAlignment="1">
      <alignment wrapText="1"/>
    </xf>
    <xf numFmtId="49" fontId="11" fillId="0" borderId="9" xfId="1" applyNumberFormat="1" applyFont="1" applyFill="1" applyBorder="1" applyAlignment="1">
      <alignment horizontal="left" wrapText="1"/>
    </xf>
    <xf numFmtId="49" fontId="11" fillId="0" borderId="9" xfId="1" applyNumberFormat="1" applyFont="1" applyFill="1" applyBorder="1" applyAlignment="1">
      <alignment horizontal="center" wrapText="1"/>
    </xf>
    <xf numFmtId="49" fontId="6" fillId="0" borderId="11" xfId="1" applyNumberFormat="1" applyFont="1" applyFill="1" applyBorder="1" applyAlignment="1">
      <alignment horizontal="center" wrapText="1"/>
    </xf>
    <xf numFmtId="49" fontId="6" fillId="0" borderId="9" xfId="1" applyNumberFormat="1" applyFont="1" applyFill="1" applyBorder="1" applyAlignment="1">
      <alignment horizontal="left" wrapText="1"/>
    </xf>
    <xf numFmtId="49" fontId="6" fillId="0" borderId="8" xfId="1" applyNumberFormat="1" applyFont="1" applyFill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 wrapText="1"/>
    </xf>
    <xf numFmtId="0" fontId="29" fillId="0" borderId="0" xfId="0" applyFont="1" applyFill="1"/>
    <xf numFmtId="49" fontId="40" fillId="0" borderId="12" xfId="1" applyNumberFormat="1" applyFont="1" applyFill="1" applyBorder="1" applyAlignment="1">
      <alignment horizontal="left" wrapText="1"/>
    </xf>
    <xf numFmtId="49" fontId="40" fillId="0" borderId="12" xfId="1" applyNumberFormat="1" applyFont="1" applyFill="1" applyBorder="1" applyAlignment="1">
      <alignment horizontal="center" wrapText="1"/>
    </xf>
    <xf numFmtId="49" fontId="42" fillId="0" borderId="12" xfId="1" applyNumberFormat="1" applyFont="1" applyFill="1" applyBorder="1" applyAlignment="1">
      <alignment wrapText="1"/>
    </xf>
    <xf numFmtId="49" fontId="11" fillId="0" borderId="12" xfId="1" applyNumberFormat="1" applyFont="1" applyFill="1" applyBorder="1" applyAlignment="1">
      <alignment horizontal="center" wrapText="1"/>
    </xf>
    <xf numFmtId="164" fontId="42" fillId="0" borderId="11" xfId="1" applyNumberFormat="1" applyFont="1" applyFill="1" applyBorder="1" applyAlignment="1">
      <alignment horizontal="center" wrapText="1"/>
    </xf>
    <xf numFmtId="49" fontId="11" fillId="0" borderId="12" xfId="1" applyNumberFormat="1" applyFont="1" applyFill="1" applyBorder="1" applyAlignment="1">
      <alignment horizontal="left" wrapText="1"/>
    </xf>
    <xf numFmtId="49" fontId="11" fillId="0" borderId="14" xfId="1" applyNumberFormat="1" applyFont="1" applyFill="1" applyBorder="1" applyAlignment="1">
      <alignment horizontal="center" wrapText="1"/>
    </xf>
    <xf numFmtId="49" fontId="11" fillId="0" borderId="15" xfId="1" applyNumberFormat="1" applyFont="1" applyFill="1" applyBorder="1" applyAlignment="1">
      <alignment wrapText="1"/>
    </xf>
    <xf numFmtId="49" fontId="11" fillId="0" borderId="14" xfId="1" applyNumberFormat="1" applyFont="1" applyFill="1" applyBorder="1" applyAlignment="1">
      <alignment wrapText="1"/>
    </xf>
    <xf numFmtId="49" fontId="40" fillId="0" borderId="9" xfId="1" applyNumberFormat="1" applyFont="1" applyFill="1" applyBorder="1" applyAlignment="1">
      <alignment horizontal="left" wrapText="1"/>
    </xf>
    <xf numFmtId="49" fontId="40" fillId="0" borderId="9" xfId="1" applyNumberFormat="1" applyFont="1" applyFill="1" applyBorder="1" applyAlignment="1">
      <alignment horizontal="center" wrapText="1"/>
    </xf>
    <xf numFmtId="172" fontId="11" fillId="0" borderId="9" xfId="1" applyNumberFormat="1" applyFont="1" applyFill="1" applyBorder="1" applyAlignment="1">
      <alignment horizontal="left" vertical="center" wrapText="1"/>
    </xf>
    <xf numFmtId="49" fontId="11" fillId="0" borderId="14" xfId="1" applyNumberFormat="1" applyFont="1" applyFill="1" applyBorder="1" applyAlignment="1">
      <alignment horizontal="left" wrapText="1"/>
    </xf>
    <xf numFmtId="0" fontId="41" fillId="0" borderId="9" xfId="25" applyFont="1" applyFill="1" applyBorder="1"/>
    <xf numFmtId="0" fontId="41" fillId="0" borderId="9" xfId="25" applyFont="1" applyFill="1" applyBorder="1" applyAlignment="1">
      <alignment wrapText="1"/>
    </xf>
    <xf numFmtId="49" fontId="40" fillId="0" borderId="14" xfId="1" applyNumberFormat="1" applyFont="1" applyFill="1" applyBorder="1" applyAlignment="1">
      <alignment horizontal="center" wrapText="1"/>
    </xf>
    <xf numFmtId="49" fontId="6" fillId="0" borderId="9" xfId="1" applyNumberFormat="1" applyFont="1" applyFill="1" applyBorder="1" applyAlignment="1">
      <alignment horizontal="center" wrapText="1"/>
    </xf>
    <xf numFmtId="49" fontId="6" fillId="0" borderId="14" xfId="1" applyNumberFormat="1" applyFont="1" applyFill="1" applyBorder="1" applyAlignment="1">
      <alignment horizontal="center" wrapText="1"/>
    </xf>
    <xf numFmtId="49" fontId="6" fillId="0" borderId="9" xfId="1" applyNumberFormat="1" applyFont="1" applyFill="1" applyBorder="1" applyAlignment="1">
      <alignment wrapText="1"/>
    </xf>
    <xf numFmtId="49" fontId="40" fillId="0" borderId="9" xfId="1" applyNumberFormat="1" applyFont="1" applyFill="1" applyBorder="1" applyAlignment="1">
      <alignment wrapText="1"/>
    </xf>
    <xf numFmtId="49" fontId="6" fillId="0" borderId="9" xfId="1" applyNumberFormat="1" applyFont="1" applyFill="1" applyBorder="1" applyAlignment="1">
      <alignment horizontal="left" vertical="top" wrapText="1"/>
    </xf>
    <xf numFmtId="0" fontId="43" fillId="0" borderId="11" xfId="25" applyFont="1" applyFill="1" applyBorder="1" applyAlignment="1">
      <alignment horizontal="justify"/>
    </xf>
    <xf numFmtId="49" fontId="40" fillId="0" borderId="11" xfId="1" applyNumberFormat="1" applyFont="1" applyFill="1" applyBorder="1" applyAlignment="1">
      <alignment wrapText="1"/>
    </xf>
    <xf numFmtId="49" fontId="44" fillId="0" borderId="8" xfId="1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/>
    <xf numFmtId="0" fontId="41" fillId="0" borderId="11" xfId="26" applyFont="1" applyFill="1" applyBorder="1" applyAlignment="1">
      <alignment wrapText="1"/>
    </xf>
    <xf numFmtId="49" fontId="45" fillId="0" borderId="8" xfId="1" applyNumberFormat="1" applyFont="1" applyFill="1" applyBorder="1" applyAlignment="1">
      <alignment horizontal="center" wrapText="1"/>
    </xf>
    <xf numFmtId="0" fontId="40" fillId="0" borderId="11" xfId="1" applyFont="1" applyFill="1" applyBorder="1" applyAlignment="1">
      <alignment horizontal="left" wrapText="1"/>
    </xf>
    <xf numFmtId="164" fontId="44" fillId="0" borderId="8" xfId="1" applyNumberFormat="1" applyFont="1" applyFill="1" applyBorder="1" applyAlignment="1">
      <alignment horizontal="center" wrapText="1"/>
    </xf>
    <xf numFmtId="164" fontId="46" fillId="0" borderId="11" xfId="1" applyNumberFormat="1" applyFont="1" applyFill="1" applyBorder="1" applyAlignment="1">
      <alignment horizontal="center"/>
    </xf>
    <xf numFmtId="164" fontId="46" fillId="0" borderId="11" xfId="1" applyNumberFormat="1" applyFont="1" applyFill="1" applyBorder="1" applyAlignment="1">
      <alignment horizontal="center" wrapText="1"/>
    </xf>
    <xf numFmtId="49" fontId="11" fillId="0" borderId="12" xfId="1" applyNumberFormat="1" applyFont="1" applyFill="1" applyBorder="1" applyAlignment="1">
      <alignment wrapText="1"/>
    </xf>
    <xf numFmtId="164" fontId="46" fillId="0" borderId="8" xfId="1" applyNumberFormat="1" applyFont="1" applyFill="1" applyBorder="1" applyAlignment="1">
      <alignment horizontal="center" wrapText="1"/>
    </xf>
    <xf numFmtId="49" fontId="6" fillId="0" borderId="11" xfId="1" applyNumberFormat="1" applyFont="1" applyFill="1" applyBorder="1" applyAlignment="1">
      <alignment wrapText="1"/>
    </xf>
    <xf numFmtId="49" fontId="12" fillId="9" borderId="11" xfId="1" applyNumberFormat="1" applyFont="1" applyFill="1" applyBorder="1" applyAlignment="1">
      <alignment horizontal="center"/>
    </xf>
    <xf numFmtId="49" fontId="9" fillId="9" borderId="11" xfId="1" applyNumberFormat="1" applyFont="1" applyFill="1" applyBorder="1" applyAlignment="1">
      <alignment horizontal="left" wrapText="1"/>
    </xf>
    <xf numFmtId="49" fontId="9" fillId="9" borderId="11" xfId="1" applyNumberFormat="1" applyFont="1" applyFill="1" applyBorder="1" applyAlignment="1">
      <alignment horizontal="center" wrapText="1"/>
    </xf>
    <xf numFmtId="49" fontId="9" fillId="9" borderId="11" xfId="1" applyNumberFormat="1" applyFont="1" applyFill="1" applyBorder="1" applyAlignment="1">
      <alignment horizontal="center"/>
    </xf>
    <xf numFmtId="164" fontId="9" fillId="9" borderId="11" xfId="1" applyNumberFormat="1" applyFont="1" applyFill="1" applyBorder="1" applyAlignment="1">
      <alignment horizontal="center"/>
    </xf>
    <xf numFmtId="0" fontId="0" fillId="9" borderId="0" xfId="0" applyFill="1"/>
    <xf numFmtId="0" fontId="6" fillId="0" borderId="0" xfId="1" applyFont="1" applyAlignment="1">
      <alignment horizontal="right"/>
    </xf>
    <xf numFmtId="0" fontId="41" fillId="0" borderId="0" xfId="0" applyFont="1" applyAlignment="1">
      <alignment wrapText="1"/>
    </xf>
    <xf numFmtId="0" fontId="48" fillId="0" borderId="11" xfId="25" applyFont="1" applyFill="1" applyBorder="1" applyAlignment="1">
      <alignment wrapText="1"/>
    </xf>
    <xf numFmtId="49" fontId="41" fillId="0" borderId="11" xfId="0" applyNumberFormat="1" applyFont="1" applyBorder="1" applyAlignment="1">
      <alignment wrapText="1"/>
    </xf>
    <xf numFmtId="49" fontId="5" fillId="0" borderId="0" xfId="1" applyNumberFormat="1"/>
    <xf numFmtId="49" fontId="7" fillId="0" borderId="0" xfId="1" applyNumberFormat="1" applyFont="1" applyAlignment="1">
      <alignment horizontal="right"/>
    </xf>
    <xf numFmtId="0" fontId="7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0" fontId="6" fillId="0" borderId="0" xfId="1" applyNumberFormat="1" applyFont="1" applyAlignment="1"/>
    <xf numFmtId="0" fontId="5" fillId="0" borderId="0" xfId="1" applyFill="1"/>
    <xf numFmtId="49" fontId="6" fillId="0" borderId="0" xfId="1" applyNumberFormat="1" applyFont="1" applyAlignment="1">
      <alignment horizontal="right" wrapText="1"/>
    </xf>
    <xf numFmtId="49" fontId="7" fillId="0" borderId="0" xfId="1" applyNumberFormat="1" applyFont="1" applyAlignment="1">
      <alignment horizontal="center" wrapText="1"/>
    </xf>
    <xf numFmtId="49" fontId="12" fillId="0" borderId="11" xfId="1" applyNumberFormat="1" applyFont="1" applyBorder="1" applyAlignment="1">
      <alignment horizontal="center" vertical="center" wrapText="1"/>
    </xf>
    <xf numFmtId="0" fontId="12" fillId="0" borderId="11" xfId="1" applyNumberFormat="1" applyFont="1" applyBorder="1" applyAlignment="1">
      <alignment horizontal="center" vertical="center" wrapText="1"/>
    </xf>
    <xf numFmtId="9" fontId="12" fillId="0" borderId="11" xfId="1" applyNumberFormat="1" applyFont="1" applyBorder="1" applyAlignment="1">
      <alignment horizontal="center" vertical="center" wrapText="1"/>
    </xf>
    <xf numFmtId="49" fontId="12" fillId="0" borderId="8" xfId="1" applyNumberFormat="1" applyFont="1" applyBorder="1" applyAlignment="1">
      <alignment horizontal="center" wrapText="1"/>
    </xf>
    <xf numFmtId="0" fontId="12" fillId="0" borderId="8" xfId="1" applyNumberFormat="1" applyFont="1" applyBorder="1" applyAlignment="1">
      <alignment horizontal="center" wrapText="1"/>
    </xf>
    <xf numFmtId="0" fontId="12" fillId="0" borderId="8" xfId="1" applyFont="1" applyBorder="1" applyAlignment="1">
      <alignment horizontal="center" wrapText="1"/>
    </xf>
    <xf numFmtId="49" fontId="6" fillId="2" borderId="8" xfId="1" applyNumberFormat="1" applyFont="1" applyFill="1" applyBorder="1" applyAlignment="1">
      <alignment horizontal="center" wrapText="1"/>
    </xf>
    <xf numFmtId="49" fontId="6" fillId="2" borderId="8" xfId="1" applyNumberFormat="1" applyFont="1" applyFill="1" applyBorder="1" applyAlignment="1">
      <alignment horizontal="left" wrapText="1"/>
    </xf>
    <xf numFmtId="0" fontId="9" fillId="0" borderId="0" xfId="1" applyFont="1"/>
    <xf numFmtId="0" fontId="5" fillId="0" borderId="0" xfId="1" applyFont="1"/>
    <xf numFmtId="49" fontId="11" fillId="2" borderId="8" xfId="1" applyNumberFormat="1" applyFont="1" applyFill="1" applyBorder="1" applyAlignment="1">
      <alignment horizontal="center" wrapText="1"/>
    </xf>
    <xf numFmtId="49" fontId="11" fillId="2" borderId="11" xfId="1" applyNumberFormat="1" applyFont="1" applyFill="1" applyBorder="1" applyAlignment="1">
      <alignment horizontal="left" wrapText="1"/>
    </xf>
    <xf numFmtId="4" fontId="9" fillId="0" borderId="0" xfId="1" applyNumberFormat="1" applyFont="1"/>
    <xf numFmtId="4" fontId="5" fillId="0" borderId="0" xfId="1" applyNumberFormat="1" applyFont="1"/>
    <xf numFmtId="49" fontId="11" fillId="2" borderId="8" xfId="1" applyNumberFormat="1" applyFont="1" applyFill="1" applyBorder="1" applyAlignment="1">
      <alignment horizontal="left" wrapText="1"/>
    </xf>
    <xf numFmtId="49" fontId="11" fillId="2" borderId="11" xfId="1" applyNumberFormat="1" applyFont="1" applyFill="1" applyBorder="1" applyAlignment="1">
      <alignment horizontal="center" wrapText="1"/>
    </xf>
    <xf numFmtId="49" fontId="11" fillId="2" borderId="11" xfId="1" applyNumberFormat="1" applyFont="1" applyFill="1" applyBorder="1" applyAlignment="1">
      <alignment wrapText="1"/>
    </xf>
    <xf numFmtId="49" fontId="11" fillId="2" borderId="9" xfId="1" applyNumberFormat="1" applyFont="1" applyFill="1" applyBorder="1" applyAlignment="1">
      <alignment wrapText="1"/>
    </xf>
    <xf numFmtId="0" fontId="11" fillId="2" borderId="11" xfId="1" applyFont="1" applyFill="1" applyBorder="1" applyAlignment="1">
      <alignment wrapText="1"/>
    </xf>
    <xf numFmtId="49" fontId="11" fillId="2" borderId="11" xfId="1" applyNumberFormat="1" applyFont="1" applyFill="1" applyBorder="1" applyAlignment="1">
      <alignment horizontal="center"/>
    </xf>
    <xf numFmtId="49" fontId="11" fillId="2" borderId="15" xfId="1" applyNumberFormat="1" applyFont="1" applyFill="1" applyBorder="1" applyAlignment="1">
      <alignment horizontal="left" wrapText="1"/>
    </xf>
    <xf numFmtId="49" fontId="5" fillId="2" borderId="11" xfId="1" applyNumberFormat="1" applyFont="1" applyFill="1" applyBorder="1"/>
    <xf numFmtId="49" fontId="11" fillId="2" borderId="16" xfId="1" applyNumberFormat="1" applyFont="1" applyFill="1" applyBorder="1" applyAlignment="1">
      <alignment horizontal="left" wrapText="1"/>
    </xf>
    <xf numFmtId="0" fontId="41" fillId="2" borderId="11" xfId="27" applyFont="1" applyFill="1" applyBorder="1" applyAlignment="1">
      <alignment wrapText="1"/>
    </xf>
    <xf numFmtId="49" fontId="11" fillId="2" borderId="15" xfId="1" applyNumberFormat="1" applyFont="1" applyFill="1" applyBorder="1" applyAlignment="1">
      <alignment wrapText="1"/>
    </xf>
    <xf numFmtId="49" fontId="11" fillId="2" borderId="14" xfId="1" applyNumberFormat="1" applyFont="1" applyFill="1" applyBorder="1" applyAlignment="1">
      <alignment wrapText="1"/>
    </xf>
    <xf numFmtId="0" fontId="41" fillId="2" borderId="15" xfId="27" applyFont="1" applyFill="1" applyBorder="1" applyAlignment="1">
      <alignment wrapText="1"/>
    </xf>
    <xf numFmtId="49" fontId="11" fillId="2" borderId="9" xfId="1" applyNumberFormat="1" applyFont="1" applyFill="1" applyBorder="1" applyAlignment="1">
      <alignment horizontal="left" wrapText="1"/>
    </xf>
    <xf numFmtId="0" fontId="41" fillId="2" borderId="11" xfId="28" applyFont="1" applyFill="1" applyBorder="1" applyAlignment="1">
      <alignment wrapText="1"/>
    </xf>
    <xf numFmtId="49" fontId="11" fillId="2" borderId="14" xfId="1" applyNumberFormat="1" applyFont="1" applyFill="1" applyBorder="1" applyAlignment="1">
      <alignment horizontal="left" wrapText="1"/>
    </xf>
    <xf numFmtId="49" fontId="11" fillId="2" borderId="12" xfId="1" applyNumberFormat="1" applyFont="1" applyFill="1" applyBorder="1" applyAlignment="1">
      <alignment wrapText="1"/>
    </xf>
    <xf numFmtId="49" fontId="11" fillId="2" borderId="17" xfId="1" applyNumberFormat="1" applyFont="1" applyFill="1" applyBorder="1" applyAlignment="1">
      <alignment horizontal="left" wrapText="1"/>
    </xf>
    <xf numFmtId="0" fontId="11" fillId="2" borderId="15" xfId="1" applyFont="1" applyFill="1" applyBorder="1" applyAlignment="1">
      <alignment wrapText="1"/>
    </xf>
    <xf numFmtId="49" fontId="6" fillId="2" borderId="11" xfId="1" applyNumberFormat="1" applyFont="1" applyFill="1" applyBorder="1" applyAlignment="1">
      <alignment horizontal="center"/>
    </xf>
    <xf numFmtId="49" fontId="6" fillId="2" borderId="14" xfId="1" applyNumberFormat="1" applyFont="1" applyFill="1" applyBorder="1" applyAlignment="1">
      <alignment horizontal="left" wrapText="1"/>
    </xf>
    <xf numFmtId="172" fontId="11" fillId="2" borderId="14" xfId="1" applyNumberFormat="1" applyFont="1" applyFill="1" applyBorder="1" applyAlignment="1">
      <alignment horizontal="left" vertical="center" wrapText="1"/>
    </xf>
    <xf numFmtId="0" fontId="41" fillId="2" borderId="9" xfId="29" applyFont="1" applyFill="1" applyBorder="1"/>
    <xf numFmtId="0" fontId="41" fillId="2" borderId="9" xfId="29" applyFont="1" applyFill="1" applyBorder="1" applyAlignment="1">
      <alignment wrapText="1"/>
    </xf>
    <xf numFmtId="49" fontId="6" fillId="2" borderId="9" xfId="1" applyNumberFormat="1" applyFont="1" applyFill="1" applyBorder="1" applyAlignment="1">
      <alignment horizontal="left" wrapText="1"/>
    </xf>
    <xf numFmtId="49" fontId="6" fillId="2" borderId="9" xfId="1" applyNumberFormat="1" applyFont="1" applyFill="1" applyBorder="1" applyAlignment="1">
      <alignment wrapText="1"/>
    </xf>
    <xf numFmtId="49" fontId="11" fillId="2" borderId="9" xfId="1" applyNumberFormat="1" applyFont="1" applyFill="1" applyBorder="1" applyAlignment="1">
      <alignment horizontal="left" vertical="top" wrapText="1"/>
    </xf>
    <xf numFmtId="49" fontId="11" fillId="2" borderId="9" xfId="1" applyNumberFormat="1" applyFont="1" applyFill="1" applyBorder="1" applyAlignment="1">
      <alignment horizontal="center" wrapText="1"/>
    </xf>
    <xf numFmtId="0" fontId="43" fillId="2" borderId="11" xfId="27" applyFont="1" applyFill="1" applyBorder="1" applyAlignment="1">
      <alignment horizontal="justify"/>
    </xf>
    <xf numFmtId="49" fontId="6" fillId="2" borderId="11" xfId="1" applyNumberFormat="1" applyFont="1" applyFill="1" applyBorder="1" applyAlignment="1">
      <alignment wrapText="1"/>
    </xf>
    <xf numFmtId="49" fontId="40" fillId="10" borderId="11" xfId="1" applyNumberFormat="1" applyFont="1" applyFill="1" applyBorder="1"/>
    <xf numFmtId="49" fontId="40" fillId="10" borderId="11" xfId="1" applyNumberFormat="1" applyFont="1" applyFill="1" applyBorder="1" applyAlignment="1">
      <alignment wrapText="1"/>
    </xf>
    <xf numFmtId="49" fontId="40" fillId="10" borderId="11" xfId="1" applyNumberFormat="1" applyFont="1" applyFill="1" applyBorder="1" applyAlignment="1">
      <alignment horizontal="center"/>
    </xf>
    <xf numFmtId="0" fontId="40" fillId="10" borderId="11" xfId="1" applyNumberFormat="1" applyFont="1" applyFill="1" applyBorder="1" applyAlignment="1">
      <alignment horizontal="center"/>
    </xf>
    <xf numFmtId="164" fontId="40" fillId="10" borderId="11" xfId="1" applyNumberFormat="1" applyFont="1" applyFill="1" applyBorder="1" applyAlignment="1">
      <alignment horizontal="center"/>
    </xf>
    <xf numFmtId="49" fontId="6" fillId="0" borderId="0" xfId="1" applyNumberFormat="1" applyFont="1"/>
    <xf numFmtId="0" fontId="5" fillId="0" borderId="0" xfId="1" applyNumberFormat="1" applyAlignment="1">
      <alignment horizontal="center"/>
    </xf>
    <xf numFmtId="164" fontId="9" fillId="0" borderId="0" xfId="1" applyNumberFormat="1" applyFont="1"/>
    <xf numFmtId="164" fontId="49" fillId="2" borderId="0" xfId="1" applyNumberFormat="1" applyFont="1" applyFill="1" applyAlignment="1">
      <alignment horizontal="center"/>
    </xf>
    <xf numFmtId="0" fontId="6" fillId="0" borderId="8" xfId="1" applyNumberFormat="1" applyFont="1" applyFill="1" applyBorder="1" applyAlignment="1">
      <alignment horizontal="center" wrapText="1"/>
    </xf>
    <xf numFmtId="0" fontId="11" fillId="0" borderId="8" xfId="1" applyNumberFormat="1" applyFont="1" applyFill="1" applyBorder="1" applyAlignment="1">
      <alignment horizontal="center" wrapText="1"/>
    </xf>
    <xf numFmtId="0" fontId="11" fillId="0" borderId="11" xfId="1" applyNumberFormat="1" applyFont="1" applyFill="1" applyBorder="1" applyAlignment="1">
      <alignment horizontal="center" wrapText="1"/>
    </xf>
    <xf numFmtId="0" fontId="11" fillId="0" borderId="14" xfId="1" applyNumberFormat="1" applyFont="1" applyFill="1" applyBorder="1" applyAlignment="1">
      <alignment horizontal="center" wrapText="1"/>
    </xf>
    <xf numFmtId="0" fontId="6" fillId="0" borderId="14" xfId="1" applyNumberFormat="1" applyFont="1" applyFill="1" applyBorder="1" applyAlignment="1">
      <alignment horizontal="center" wrapText="1"/>
    </xf>
    <xf numFmtId="0" fontId="48" fillId="2" borderId="9" xfId="27" applyFont="1" applyFill="1" applyBorder="1" applyAlignment="1">
      <alignment wrapText="1"/>
    </xf>
    <xf numFmtId="0" fontId="50" fillId="0" borderId="0" xfId="1" applyFont="1"/>
    <xf numFmtId="0" fontId="10" fillId="0" borderId="0" xfId="1" applyFont="1" applyAlignment="1">
      <alignment horizontal="right"/>
    </xf>
    <xf numFmtId="2" fontId="0" fillId="0" borderId="0" xfId="0" applyNumberFormat="1" applyBorder="1"/>
    <xf numFmtId="164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164" fontId="11" fillId="2" borderId="0" xfId="1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left" vertical="center" wrapText="1"/>
    </xf>
    <xf numFmtId="0" fontId="5" fillId="0" borderId="11" xfId="1" applyBorder="1"/>
    <xf numFmtId="164" fontId="11" fillId="2" borderId="0" xfId="1" applyNumberFormat="1" applyFont="1" applyFill="1" applyBorder="1" applyAlignment="1">
      <alignment horizontal="center" wrapText="1"/>
    </xf>
    <xf numFmtId="164" fontId="6" fillId="0" borderId="11" xfId="1" applyNumberFormat="1" applyFont="1" applyFill="1" applyBorder="1" applyAlignment="1">
      <alignment horizontal="center" wrapText="1"/>
    </xf>
    <xf numFmtId="11" fontId="5" fillId="0" borderId="0" xfId="1" applyNumberFormat="1"/>
    <xf numFmtId="164" fontId="47" fillId="0" borderId="11" xfId="1" applyNumberFormat="1" applyFont="1" applyFill="1" applyBorder="1" applyAlignment="1">
      <alignment horizontal="center" wrapText="1"/>
    </xf>
    <xf numFmtId="164" fontId="47" fillId="0" borderId="8" xfId="1" applyNumberFormat="1" applyFont="1" applyFill="1" applyBorder="1" applyAlignment="1">
      <alignment horizontal="center" wrapText="1"/>
    </xf>
    <xf numFmtId="164" fontId="0" fillId="0" borderId="0" xfId="0" applyNumberFormat="1"/>
    <xf numFmtId="164" fontId="41" fillId="0" borderId="8" xfId="0" applyNumberFormat="1" applyFont="1" applyFill="1" applyBorder="1" applyAlignment="1">
      <alignment horizontal="center"/>
    </xf>
    <xf numFmtId="49" fontId="51" fillId="0" borderId="18" xfId="1" applyNumberFormat="1" applyFont="1" applyFill="1" applyBorder="1" applyAlignment="1">
      <alignment horizontal="center" wrapText="1"/>
    </xf>
    <xf numFmtId="0" fontId="7" fillId="0" borderId="0" xfId="1" applyFont="1" applyAlignment="1">
      <alignment horizontal="center"/>
    </xf>
    <xf numFmtId="0" fontId="12" fillId="0" borderId="1" xfId="1" applyFont="1" applyBorder="1" applyAlignment="1">
      <alignment horizontal="center"/>
    </xf>
    <xf numFmtId="0" fontId="6" fillId="0" borderId="0" xfId="1" applyFont="1" applyAlignment="1">
      <alignment horizontal="right"/>
    </xf>
    <xf numFmtId="0" fontId="10" fillId="0" borderId="0" xfId="1" applyFont="1" applyAlignment="1">
      <alignment horizontal="right"/>
    </xf>
    <xf numFmtId="0" fontId="6" fillId="2" borderId="0" xfId="1" applyFont="1" applyFill="1" applyAlignment="1">
      <alignment horizontal="right"/>
    </xf>
    <xf numFmtId="0" fontId="12" fillId="0" borderId="0" xfId="1" applyFont="1" applyAlignment="1">
      <alignment horizontal="center"/>
    </xf>
    <xf numFmtId="49" fontId="38" fillId="0" borderId="0" xfId="1" applyNumberFormat="1" applyFont="1" applyBorder="1" applyAlignment="1">
      <alignment horizontal="center" wrapText="1"/>
    </xf>
    <xf numFmtId="164" fontId="11" fillId="2" borderId="8" xfId="1" applyNumberFormat="1" applyFont="1" applyFill="1" applyBorder="1" applyAlignment="1">
      <alignment horizontal="center" wrapText="1"/>
    </xf>
    <xf numFmtId="164" fontId="11" fillId="2" borderId="11" xfId="1" applyNumberFormat="1" applyFont="1" applyFill="1" applyBorder="1" applyAlignment="1">
      <alignment horizontal="center" wrapText="1"/>
    </xf>
    <xf numFmtId="164" fontId="41" fillId="2" borderId="11" xfId="0" applyNumberFormat="1" applyFont="1" applyFill="1" applyBorder="1" applyAlignment="1">
      <alignment horizontal="center"/>
    </xf>
    <xf numFmtId="164" fontId="41" fillId="2" borderId="8" xfId="0" applyNumberFormat="1" applyFont="1" applyFill="1" applyBorder="1" applyAlignment="1">
      <alignment horizontal="center"/>
    </xf>
    <xf numFmtId="164" fontId="46" fillId="2" borderId="11" xfId="1" applyNumberFormat="1" applyFont="1" applyFill="1" applyBorder="1" applyAlignment="1">
      <alignment horizontal="center"/>
    </xf>
    <xf numFmtId="164" fontId="46" fillId="2" borderId="11" xfId="1" applyNumberFormat="1" applyFont="1" applyFill="1" applyBorder="1" applyAlignment="1">
      <alignment horizontal="center" wrapText="1"/>
    </xf>
  </cellXfs>
  <cellStyles count="30">
    <cellStyle name="Обычный" xfId="0" builtinId="0"/>
    <cellStyle name="Обычный 2" xfId="1"/>
    <cellStyle name="Обычный 2 2" xfId="5"/>
    <cellStyle name="Обычный 2 2 2" xfId="6"/>
    <cellStyle name="Обычный 2 2 3" xfId="7"/>
    <cellStyle name="Обычный 2_№2 Расходы сводная бюджетная роспись 2012г." xfId="8"/>
    <cellStyle name="Обычный 3" xfId="2"/>
    <cellStyle name="Обычный 3 2" xfId="9"/>
    <cellStyle name="Обычный 3 3" xfId="18"/>
    <cellStyle name="Обычный 3 4" xfId="19"/>
    <cellStyle name="Обычный 3 4 2" xfId="3"/>
    <cellStyle name="Обычный 3 4 2 2" xfId="17"/>
    <cellStyle name="Обычный 3 4 2 2 2" xfId="29"/>
    <cellStyle name="Обычный 3 4 2 3" xfId="25"/>
    <cellStyle name="Обычный 3 5" xfId="20"/>
    <cellStyle name="Обычный 3 6" xfId="21"/>
    <cellStyle name="Обычный 3_№2 Расходы сводная бюджетная роспись 2012г." xfId="10"/>
    <cellStyle name="Обычный 4" xfId="11"/>
    <cellStyle name="Обычный 4 2" xfId="12"/>
    <cellStyle name="Обычный 4 2 2" xfId="15"/>
    <cellStyle name="Обычный 4 2 2 2" xfId="27"/>
    <cellStyle name="Обычный 5" xfId="13"/>
    <cellStyle name="Обычный 6" xfId="22"/>
    <cellStyle name="Обычный 7" xfId="23"/>
    <cellStyle name="Обычный 7 2" xfId="4"/>
    <cellStyle name="Обычный 7 2 2" xfId="16"/>
    <cellStyle name="Обычный 7 2 2 2" xfId="28"/>
    <cellStyle name="Обычный 7 2 3" xfId="26"/>
    <cellStyle name="Обычный_Доходы" xfId="24"/>
    <cellStyle name="Процентный 2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4;&#1072;&#1088;&#1075;&#1086;&#1096;&#1072;\2016%20&#1041;&#1070;&#1044;&#1046;&#1045;&#1058;%20&#1089;%20&#1087;&#1086;&#1087;&#1088;&#1072;&#1074;&#1082;&#1072;&#1084;&#1080;%20&#1050;&#1057;&#1055;\&#1042;&#1052;&#1054;%20&#1040;&#1076;&#1084;&#1080;&#1088;&#1072;&#1083;&#1090;&#1077;&#1081;&#1089;&#1082;&#1080;&#1081;%20&#1086;&#1082;&#1088;&#1091;&#1075;-&#1087;&#1088;&#1086;&#1077;&#1082;&#1090;-2016\&#1055;&#1088;&#1080;&#1083;&#1086;&#1078;&#1077;&#1085;&#1080;&#1103;%20&#8470;1-2%201%20&#1095;&#1090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ВСР"/>
      <sheetName val="Прилож.3 Распр.по ассигн."/>
    </sheetNames>
    <sheetDataSet>
      <sheetData sheetId="0"/>
      <sheetData sheetId="1">
        <row r="15">
          <cell r="E15" t="str">
            <v>00205 00030</v>
          </cell>
        </row>
        <row r="17">
          <cell r="E17" t="str">
            <v>00206 00030</v>
          </cell>
        </row>
        <row r="20">
          <cell r="E20" t="str">
            <v>09200 G0100</v>
          </cell>
        </row>
        <row r="22">
          <cell r="E22" t="str">
            <v>00200 G0850</v>
          </cell>
        </row>
        <row r="26">
          <cell r="E26" t="str">
            <v>07001 00060</v>
          </cell>
        </row>
        <row r="29">
          <cell r="E29" t="str">
            <v>09201 00070</v>
          </cell>
        </row>
        <row r="32">
          <cell r="E32" t="str">
            <v>09201 00460</v>
          </cell>
        </row>
        <row r="36">
          <cell r="E36" t="str">
            <v>79507 00180</v>
          </cell>
        </row>
        <row r="38">
          <cell r="E38" t="str">
            <v>79508 00520</v>
          </cell>
        </row>
        <row r="43">
          <cell r="E43" t="str">
            <v>21900 00090</v>
          </cell>
        </row>
        <row r="47">
          <cell r="E47" t="str">
            <v>51001 00100</v>
          </cell>
        </row>
        <row r="51">
          <cell r="E51" t="str">
            <v>34500 00100</v>
          </cell>
        </row>
        <row r="56">
          <cell r="E56" t="str">
            <v>60001 00132</v>
          </cell>
        </row>
        <row r="57">
          <cell r="E57" t="str">
            <v>60001 00132</v>
          </cell>
        </row>
        <row r="63">
          <cell r="E63" t="str">
            <v>60003 00151</v>
          </cell>
        </row>
        <row r="79">
          <cell r="E79" t="str">
            <v>41000 00170</v>
          </cell>
        </row>
        <row r="83">
          <cell r="E83" t="str">
            <v>42801 00180</v>
          </cell>
        </row>
        <row r="87">
          <cell r="E87" t="str">
            <v>79505 00190</v>
          </cell>
        </row>
        <row r="90">
          <cell r="E90" t="str">
            <v>79506 00510</v>
          </cell>
        </row>
        <row r="91">
          <cell r="E91" t="str">
            <v>79506 00510</v>
          </cell>
        </row>
        <row r="92">
          <cell r="E92" t="str">
            <v>79512 00490</v>
          </cell>
        </row>
        <row r="94">
          <cell r="E94" t="str">
            <v>79514 00530</v>
          </cell>
        </row>
        <row r="98">
          <cell r="E98" t="str">
            <v>45011 00200</v>
          </cell>
        </row>
        <row r="101">
          <cell r="E101" t="str">
            <v>45009 00560</v>
          </cell>
        </row>
        <row r="105">
          <cell r="E105" t="str">
            <v>50581 00230</v>
          </cell>
        </row>
        <row r="108">
          <cell r="E108" t="str">
            <v>51100 G0860</v>
          </cell>
        </row>
        <row r="110">
          <cell r="E110" t="str">
            <v>51100 G0870</v>
          </cell>
        </row>
        <row r="115">
          <cell r="E115" t="str">
            <v>00201 00010</v>
          </cell>
        </row>
        <row r="116">
          <cell r="E116" t="str">
            <v>00201 00010</v>
          </cell>
        </row>
        <row r="118">
          <cell r="E118" t="str">
            <v>00203 00021</v>
          </cell>
        </row>
        <row r="120">
          <cell r="E120" t="str">
            <v>00203 00022</v>
          </cell>
        </row>
        <row r="123">
          <cell r="E123" t="str">
            <v>00204 00020</v>
          </cell>
        </row>
        <row r="127">
          <cell r="E127" t="str">
            <v>09205 00440</v>
          </cell>
        </row>
        <row r="131">
          <cell r="E131" t="str">
            <v>45701 00250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T68"/>
  <sheetViews>
    <sheetView view="pageBreakPreview" zoomScale="90" zoomScaleNormal="70" zoomScaleSheetLayoutView="90" workbookViewId="0">
      <selection activeCell="C10" sqref="C10"/>
    </sheetView>
  </sheetViews>
  <sheetFormatPr defaultRowHeight="15" x14ac:dyDescent="0.25"/>
  <cols>
    <col min="1" max="1" width="14.140625" customWidth="1"/>
    <col min="2" max="2" width="13" customWidth="1"/>
    <col min="3" max="3" width="30.140625" customWidth="1"/>
    <col min="4" max="4" width="65.85546875" customWidth="1"/>
    <col min="5" max="5" width="15.85546875" customWidth="1"/>
    <col min="6" max="9" width="0" hidden="1" customWidth="1"/>
    <col min="10" max="10" width="13.7109375" hidden="1" customWidth="1"/>
    <col min="11" max="11" width="13.7109375" customWidth="1"/>
    <col min="12" max="12" width="13" hidden="1" customWidth="1"/>
    <col min="13" max="13" width="22.85546875" hidden="1" customWidth="1"/>
    <col min="14" max="14" width="10.5703125" hidden="1" customWidth="1"/>
    <col min="15" max="15" width="16.85546875" hidden="1" customWidth="1"/>
    <col min="16" max="17" width="0" hidden="1" customWidth="1"/>
    <col min="18" max="18" width="16.28515625" hidden="1" customWidth="1"/>
  </cols>
  <sheetData>
    <row r="1" spans="1:19" ht="19.5" x14ac:dyDescent="0.35">
      <c r="A1" s="288"/>
      <c r="B1" s="1"/>
      <c r="C1" s="2"/>
      <c r="D1" s="307" t="s">
        <v>518</v>
      </c>
      <c r="E1" s="307"/>
      <c r="F1" s="307"/>
      <c r="G1" s="3"/>
      <c r="H1" s="4"/>
      <c r="I1" s="5"/>
      <c r="J1" s="5"/>
      <c r="K1" s="5"/>
      <c r="L1" s="5"/>
    </row>
    <row r="2" spans="1:19" ht="18.75" x14ac:dyDescent="0.3">
      <c r="A2" s="2"/>
      <c r="B2" s="2"/>
      <c r="C2" s="2"/>
      <c r="D2" s="307" t="s">
        <v>140</v>
      </c>
      <c r="E2" s="307"/>
      <c r="F2" s="6"/>
      <c r="G2" s="7"/>
      <c r="H2" s="4"/>
      <c r="I2" s="5"/>
      <c r="J2" s="5"/>
      <c r="K2" s="5"/>
      <c r="L2" s="5"/>
    </row>
    <row r="3" spans="1:19" ht="19.5" x14ac:dyDescent="0.3">
      <c r="A3" s="2"/>
      <c r="B3" s="2"/>
      <c r="C3" s="2"/>
      <c r="D3" s="308" t="s">
        <v>139</v>
      </c>
      <c r="E3" s="308"/>
      <c r="F3" s="308"/>
      <c r="G3" s="308"/>
      <c r="H3" s="308"/>
      <c r="I3" s="308"/>
      <c r="J3" s="81"/>
      <c r="K3" s="289"/>
      <c r="L3" s="81"/>
    </row>
    <row r="4" spans="1:19" ht="18.75" x14ac:dyDescent="0.3">
      <c r="A4" s="2"/>
      <c r="B4" s="2"/>
      <c r="C4" s="2"/>
      <c r="D4" s="309" t="s">
        <v>519</v>
      </c>
      <c r="E4" s="309"/>
      <c r="F4" s="8"/>
      <c r="G4" s="9"/>
      <c r="H4" s="10"/>
      <c r="I4" s="10"/>
      <c r="J4" s="10"/>
      <c r="K4" s="10"/>
      <c r="L4" s="10"/>
    </row>
    <row r="5" spans="1:19" ht="15.75" x14ac:dyDescent="0.25">
      <c r="A5" s="2"/>
      <c r="B5" s="2"/>
      <c r="C5" s="2"/>
      <c r="D5" s="2"/>
      <c r="E5" s="2"/>
      <c r="F5" s="2"/>
      <c r="G5" s="11"/>
      <c r="H5" s="10"/>
      <c r="I5" s="10"/>
      <c r="J5" s="10"/>
      <c r="K5" s="10"/>
      <c r="L5" s="10"/>
    </row>
    <row r="6" spans="1:19" ht="15.75" x14ac:dyDescent="0.25">
      <c r="A6" s="310" t="s">
        <v>0</v>
      </c>
      <c r="B6" s="310"/>
      <c r="C6" s="310"/>
      <c r="D6" s="310"/>
      <c r="E6" s="310"/>
      <c r="F6" s="2"/>
      <c r="G6" s="2"/>
      <c r="H6" s="2"/>
      <c r="I6" s="2"/>
      <c r="J6" s="2"/>
      <c r="K6" s="2"/>
      <c r="L6" s="2"/>
    </row>
    <row r="7" spans="1:19" ht="16.5" x14ac:dyDescent="0.25">
      <c r="A7" s="12"/>
      <c r="B7" s="12"/>
      <c r="C7" s="305" t="s">
        <v>141</v>
      </c>
      <c r="D7" s="305"/>
      <c r="E7" s="13"/>
      <c r="F7" s="14"/>
      <c r="G7" s="2"/>
      <c r="H7" s="2"/>
      <c r="I7" s="2"/>
      <c r="J7" s="2"/>
      <c r="K7" s="2"/>
      <c r="L7" s="2"/>
    </row>
    <row r="8" spans="1:19" ht="16.5" thickBot="1" x14ac:dyDescent="0.3">
      <c r="A8" s="2"/>
      <c r="B8" s="2"/>
      <c r="C8" s="306"/>
      <c r="D8" s="306"/>
      <c r="E8" s="14"/>
      <c r="F8" s="14"/>
      <c r="G8" s="15"/>
      <c r="H8" s="2"/>
      <c r="I8" s="2"/>
      <c r="J8" s="2"/>
      <c r="K8" s="2"/>
      <c r="L8" s="2"/>
    </row>
    <row r="9" spans="1:19" ht="57" thickBot="1" x14ac:dyDescent="0.3">
      <c r="A9" s="16" t="s">
        <v>1</v>
      </c>
      <c r="B9" s="17" t="s">
        <v>520</v>
      </c>
      <c r="C9" s="18" t="s">
        <v>521</v>
      </c>
      <c r="D9" s="18" t="s">
        <v>2</v>
      </c>
      <c r="E9" s="19" t="s">
        <v>3</v>
      </c>
      <c r="F9" s="20" t="s">
        <v>4</v>
      </c>
      <c r="G9" s="21" t="s">
        <v>5</v>
      </c>
      <c r="H9" s="21" t="s">
        <v>6</v>
      </c>
      <c r="I9" s="22" t="s">
        <v>7</v>
      </c>
      <c r="J9" s="83"/>
      <c r="K9" s="83"/>
      <c r="L9" s="83"/>
      <c r="M9" s="74"/>
      <c r="N9" s="74"/>
      <c r="O9" s="74"/>
      <c r="P9" s="74"/>
      <c r="Q9" s="74"/>
      <c r="R9" s="74"/>
      <c r="S9" s="74"/>
    </row>
    <row r="10" spans="1:19" ht="18.75" x14ac:dyDescent="0.3">
      <c r="A10" s="23">
        <v>1</v>
      </c>
      <c r="B10" s="24">
        <v>2</v>
      </c>
      <c r="C10" s="24">
        <v>3</v>
      </c>
      <c r="D10" s="25">
        <v>4</v>
      </c>
      <c r="E10" s="26">
        <v>5</v>
      </c>
      <c r="F10" s="27">
        <v>6</v>
      </c>
      <c r="G10" s="27">
        <v>7</v>
      </c>
      <c r="H10" s="27">
        <v>8</v>
      </c>
      <c r="I10" s="28">
        <v>9</v>
      </c>
      <c r="J10" s="84"/>
      <c r="K10" s="84"/>
      <c r="L10" s="84"/>
      <c r="M10" s="74"/>
      <c r="N10" s="74"/>
      <c r="O10" s="74"/>
      <c r="P10" s="74"/>
      <c r="Q10" s="74"/>
      <c r="R10" s="74"/>
      <c r="S10" s="74"/>
    </row>
    <row r="11" spans="1:19" ht="22.5" customHeight="1" x14ac:dyDescent="0.25">
      <c r="A11" s="29" t="s">
        <v>8</v>
      </c>
      <c r="B11" s="29" t="s">
        <v>9</v>
      </c>
      <c r="C11" s="30" t="s">
        <v>10</v>
      </c>
      <c r="D11" s="31" t="s">
        <v>11</v>
      </c>
      <c r="E11" s="127">
        <f>E12+E26+E29+E37+E49</f>
        <v>50972.01973</v>
      </c>
      <c r="F11" s="32" t="e">
        <f>F12+#REF!+F26+F29+F37</f>
        <v>#REF!</v>
      </c>
      <c r="G11" s="32" t="e">
        <f>G12+#REF!+G26+G29+G37</f>
        <v>#REF!</v>
      </c>
      <c r="H11" s="32" t="e">
        <f>H12+#REF!+H26+H29+H37</f>
        <v>#REF!</v>
      </c>
      <c r="I11" s="32" t="e">
        <f>I12+#REF!+I26+I29+I37</f>
        <v>#REF!</v>
      </c>
      <c r="J11" s="85"/>
      <c r="K11" s="105"/>
      <c r="L11" s="105" t="e">
        <f>L15+L16+L18+L19+L20+L22+L23+L25+L32+L36+L38+L40+L43+L44+L45+L46+L47+L48+#REF!+L51</f>
        <v>#REF!</v>
      </c>
      <c r="M11" s="105" t="e">
        <f>M15+M16+M18+M19+M20+M22+M23+M25+M32+M36+M38+M40+M43+M44+M45+M46+M47+M48+#REF!+M51</f>
        <v>#REF!</v>
      </c>
      <c r="N11" s="105"/>
      <c r="O11" s="105" t="e">
        <f>O15+O16+O18+O19+O20+O22+O23+O25+O32+O36+O38+O40+O43+O44+O45+O46+O47+O48+#REF!+O51</f>
        <v>#REF!</v>
      </c>
      <c r="P11" s="74"/>
      <c r="Q11" s="74"/>
      <c r="R11" s="74"/>
      <c r="S11" s="74"/>
    </row>
    <row r="12" spans="1:19" ht="23.25" customHeight="1" x14ac:dyDescent="0.25">
      <c r="A12" s="33" t="s">
        <v>12</v>
      </c>
      <c r="B12" s="33" t="s">
        <v>9</v>
      </c>
      <c r="C12" s="30" t="s">
        <v>13</v>
      </c>
      <c r="D12" s="31" t="s">
        <v>14</v>
      </c>
      <c r="E12" s="103">
        <f>E13+E21+E24</f>
        <v>47543.563893333332</v>
      </c>
      <c r="F12" s="34">
        <f>F13+F21</f>
        <v>6129.2</v>
      </c>
      <c r="G12" s="34">
        <f>G13+G21</f>
        <v>12929.8</v>
      </c>
      <c r="H12" s="34">
        <f>H13+H21</f>
        <v>9439.2000000000007</v>
      </c>
      <c r="I12" s="34">
        <f>I13+I21</f>
        <v>7263.8</v>
      </c>
      <c r="J12" s="75"/>
      <c r="K12" s="76"/>
      <c r="L12" s="76"/>
      <c r="M12" s="74"/>
      <c r="N12" s="74"/>
      <c r="O12" s="74"/>
      <c r="P12" s="74"/>
      <c r="Q12" s="74"/>
      <c r="R12" s="74"/>
      <c r="S12" s="74"/>
    </row>
    <row r="13" spans="1:19" ht="37.5" x14ac:dyDescent="0.25">
      <c r="A13" s="33" t="s">
        <v>15</v>
      </c>
      <c r="B13" s="33" t="s">
        <v>16</v>
      </c>
      <c r="C13" s="30" t="s">
        <v>17</v>
      </c>
      <c r="D13" s="31" t="s">
        <v>18</v>
      </c>
      <c r="E13" s="103">
        <f>E14+E17+E20</f>
        <v>31217.868559999999</v>
      </c>
      <c r="F13" s="35">
        <f>F14+F17</f>
        <v>4477.3999999999996</v>
      </c>
      <c r="G13" s="35">
        <f>G14+G17</f>
        <v>10866.9</v>
      </c>
      <c r="H13" s="35">
        <f>H14+H17</f>
        <v>7613.2</v>
      </c>
      <c r="I13" s="35">
        <f>I14+I17</f>
        <v>5650.5</v>
      </c>
      <c r="J13" s="86"/>
      <c r="K13" s="106"/>
      <c r="L13" s="106">
        <f>L15+L16+L18+L19+L20+L22+L23+L25+L38</f>
        <v>51133.190124730667</v>
      </c>
      <c r="M13" s="106">
        <f t="shared" ref="M13:O13" si="0">M15+M16+M18+M19+M20+M22+M23+M25+M38</f>
        <v>16325.695333333333</v>
      </c>
      <c r="N13" s="106">
        <f t="shared" si="0"/>
        <v>0</v>
      </c>
      <c r="O13" s="106">
        <f t="shared" si="0"/>
        <v>54463.958540773325</v>
      </c>
      <c r="P13" s="74"/>
      <c r="Q13" s="74"/>
      <c r="R13" s="106">
        <f>E15+E16+E18+E19+E20+E22+E23+E25+E38</f>
        <v>47884.763493333332</v>
      </c>
      <c r="S13" s="74"/>
    </row>
    <row r="14" spans="1:19" ht="56.25" x14ac:dyDescent="0.25">
      <c r="A14" s="33" t="s">
        <v>19</v>
      </c>
      <c r="B14" s="33" t="s">
        <v>16</v>
      </c>
      <c r="C14" s="30" t="s">
        <v>20</v>
      </c>
      <c r="D14" s="31" t="s">
        <v>21</v>
      </c>
      <c r="E14" s="103">
        <f>E15+E16</f>
        <v>23119.339614</v>
      </c>
      <c r="F14" s="36">
        <f>F15+F16</f>
        <v>3827.4</v>
      </c>
      <c r="G14" s="36">
        <f>G15+G16</f>
        <v>8856.6</v>
      </c>
      <c r="H14" s="36">
        <f>H15+H16</f>
        <v>5971</v>
      </c>
      <c r="I14" s="36">
        <f>I15+I16</f>
        <v>4977</v>
      </c>
      <c r="J14" s="77"/>
      <c r="K14" s="107"/>
      <c r="L14" s="106" t="e">
        <f>L11-L13</f>
        <v>#REF!</v>
      </c>
      <c r="M14" s="106" t="e">
        <f t="shared" ref="M14:O14" si="1">M11-M13</f>
        <v>#REF!</v>
      </c>
      <c r="N14" s="106">
        <f t="shared" si="1"/>
        <v>0</v>
      </c>
      <c r="O14" s="106" t="e">
        <f t="shared" si="1"/>
        <v>#REF!</v>
      </c>
      <c r="P14" s="74"/>
      <c r="Q14" s="74"/>
      <c r="R14" s="120">
        <f>E11-R13</f>
        <v>3087.256236666668</v>
      </c>
      <c r="S14" s="74"/>
    </row>
    <row r="15" spans="1:19" ht="47.25" customHeight="1" x14ac:dyDescent="0.25">
      <c r="A15" s="37" t="s">
        <v>22</v>
      </c>
      <c r="B15" s="37" t="s">
        <v>16</v>
      </c>
      <c r="C15" s="38" t="s">
        <v>23</v>
      </c>
      <c r="D15" s="39" t="s">
        <v>21</v>
      </c>
      <c r="E15" s="49">
        <f>21352935*1.082/1000</f>
        <v>23103.875670000001</v>
      </c>
      <c r="F15" s="40">
        <f>3827.4-50</f>
        <v>3777.4</v>
      </c>
      <c r="G15" s="40">
        <f>6772.6+2084</f>
        <v>8856.6</v>
      </c>
      <c r="H15" s="40">
        <f>5100+871</f>
        <v>5971</v>
      </c>
      <c r="I15" s="113">
        <v>4977</v>
      </c>
      <c r="J15" s="87"/>
      <c r="K15" s="108"/>
      <c r="L15" s="121">
        <f>E15*1.0744</f>
        <v>24822.804019848001</v>
      </c>
      <c r="M15" s="106"/>
      <c r="N15" s="74"/>
      <c r="O15" s="82">
        <f>L15*1.0739</f>
        <v>26657.209236914772</v>
      </c>
      <c r="P15" s="74"/>
      <c r="Q15" s="74"/>
      <c r="R15" s="122"/>
      <c r="S15" s="123"/>
    </row>
    <row r="16" spans="1:19" ht="63" customHeight="1" x14ac:dyDescent="0.25">
      <c r="A16" s="37" t="s">
        <v>24</v>
      </c>
      <c r="B16" s="37" t="s">
        <v>16</v>
      </c>
      <c r="C16" s="38" t="s">
        <v>25</v>
      </c>
      <c r="D16" s="39" t="s">
        <v>26</v>
      </c>
      <c r="E16" s="49">
        <f>14292*1.082/1000</f>
        <v>15.463944000000001</v>
      </c>
      <c r="F16" s="40">
        <v>50</v>
      </c>
      <c r="G16" s="40">
        <v>0</v>
      </c>
      <c r="H16" s="40">
        <v>0</v>
      </c>
      <c r="I16" s="113">
        <v>0</v>
      </c>
      <c r="J16" s="117"/>
      <c r="K16" s="293"/>
      <c r="L16" s="121">
        <f>E16*1.0744</f>
        <v>16.614461433600002</v>
      </c>
      <c r="M16" s="74"/>
      <c r="N16" s="74"/>
      <c r="O16" s="82">
        <f>L16*1.0739</f>
        <v>17.842270133543042</v>
      </c>
      <c r="P16" s="74"/>
      <c r="Q16" s="74"/>
      <c r="R16" s="82"/>
      <c r="S16" s="74"/>
    </row>
    <row r="17" spans="1:20" ht="61.5" customHeight="1" x14ac:dyDescent="0.25">
      <c r="A17" s="33" t="s">
        <v>24</v>
      </c>
      <c r="B17" s="33" t="s">
        <v>16</v>
      </c>
      <c r="C17" s="30" t="s">
        <v>27</v>
      </c>
      <c r="D17" s="31" t="s">
        <v>28</v>
      </c>
      <c r="E17" s="103">
        <f>E18+E19</f>
        <v>5420.2359520000009</v>
      </c>
      <c r="F17" s="36">
        <f>F18+F19</f>
        <v>650</v>
      </c>
      <c r="G17" s="36">
        <f>G18+G19</f>
        <v>2010.3</v>
      </c>
      <c r="H17" s="36">
        <f>H18+H19</f>
        <v>1642.2</v>
      </c>
      <c r="I17" s="114">
        <f>I18+I19</f>
        <v>673.5</v>
      </c>
      <c r="J17" s="77"/>
      <c r="K17" s="107"/>
      <c r="L17" s="107"/>
      <c r="M17" s="107"/>
      <c r="N17" s="74"/>
      <c r="O17" s="82"/>
      <c r="P17" s="74"/>
      <c r="Q17" s="74"/>
      <c r="R17" s="82"/>
      <c r="S17" s="74"/>
    </row>
    <row r="18" spans="1:20" ht="56.25" x14ac:dyDescent="0.25">
      <c r="A18" s="37" t="s">
        <v>29</v>
      </c>
      <c r="B18" s="37" t="s">
        <v>16</v>
      </c>
      <c r="C18" s="38" t="s">
        <v>30</v>
      </c>
      <c r="D18" s="39" t="s">
        <v>28</v>
      </c>
      <c r="E18" s="49">
        <f>5008536*1.082/1000</f>
        <v>5419.2359520000009</v>
      </c>
      <c r="F18" s="41">
        <f>650-100</f>
        <v>550</v>
      </c>
      <c r="G18" s="41">
        <v>2010.3</v>
      </c>
      <c r="H18" s="41">
        <v>1642.2</v>
      </c>
      <c r="I18" s="115">
        <v>673.5</v>
      </c>
      <c r="J18" s="88"/>
      <c r="K18" s="97"/>
      <c r="L18" s="121">
        <f>E18*1.0744</f>
        <v>5822.4271068288008</v>
      </c>
      <c r="M18" s="82"/>
      <c r="N18" s="74"/>
      <c r="O18" s="124">
        <f>L18*1.0739</f>
        <v>6252.7044700234492</v>
      </c>
      <c r="P18" s="74"/>
      <c r="Q18" s="74"/>
      <c r="R18" s="125"/>
      <c r="S18" s="74"/>
      <c r="T18" s="119"/>
    </row>
    <row r="19" spans="1:20" ht="81" customHeight="1" x14ac:dyDescent="0.25">
      <c r="A19" s="37" t="s">
        <v>31</v>
      </c>
      <c r="B19" s="37" t="s">
        <v>16</v>
      </c>
      <c r="C19" s="38" t="s">
        <v>32</v>
      </c>
      <c r="D19" s="39" t="s">
        <v>33</v>
      </c>
      <c r="E19" s="49">
        <f>1000/1000</f>
        <v>1</v>
      </c>
      <c r="F19" s="40">
        <v>100</v>
      </c>
      <c r="G19" s="40">
        <v>0</v>
      </c>
      <c r="H19" s="40">
        <v>0</v>
      </c>
      <c r="I19" s="113">
        <v>0</v>
      </c>
      <c r="J19" s="87"/>
      <c r="K19" s="108"/>
      <c r="L19" s="108">
        <v>1</v>
      </c>
      <c r="M19" s="74"/>
      <c r="N19" s="74"/>
      <c r="O19" s="82">
        <f>L19</f>
        <v>1</v>
      </c>
      <c r="P19" s="74"/>
      <c r="Q19" s="74"/>
      <c r="R19" s="82"/>
      <c r="S19" s="74"/>
    </row>
    <row r="20" spans="1:20" ht="37.5" x14ac:dyDescent="0.25">
      <c r="A20" s="33" t="s">
        <v>34</v>
      </c>
      <c r="B20" s="33" t="s">
        <v>16</v>
      </c>
      <c r="C20" s="30" t="s">
        <v>35</v>
      </c>
      <c r="D20" s="31" t="s">
        <v>36</v>
      </c>
      <c r="E20" s="103">
        <f>2475317*1.082/1000</f>
        <v>2678.2929939999999</v>
      </c>
      <c r="F20" s="40"/>
      <c r="G20" s="40"/>
      <c r="H20" s="40"/>
      <c r="I20" s="40"/>
      <c r="J20" s="116"/>
      <c r="K20" s="294"/>
      <c r="L20" s="121">
        <f>E20*1.0744</f>
        <v>2877.5579927536</v>
      </c>
      <c r="M20" s="74"/>
      <c r="N20" s="74"/>
      <c r="O20" s="82">
        <f>L20*1.0739</f>
        <v>3090.2095284180914</v>
      </c>
      <c r="P20" s="74"/>
      <c r="Q20" s="74"/>
      <c r="R20" s="82"/>
      <c r="S20" s="74"/>
    </row>
    <row r="21" spans="1:20" ht="37.5" x14ac:dyDescent="0.25">
      <c r="A21" s="33" t="s">
        <v>37</v>
      </c>
      <c r="B21" s="33" t="s">
        <v>16</v>
      </c>
      <c r="C21" s="30" t="s">
        <v>38</v>
      </c>
      <c r="D21" s="31" t="s">
        <v>39</v>
      </c>
      <c r="E21" s="103">
        <f>E22+E23</f>
        <v>15166.950444444445</v>
      </c>
      <c r="F21" s="36">
        <f>F22+F23</f>
        <v>1651.8</v>
      </c>
      <c r="G21" s="36">
        <f>G22+G23</f>
        <v>2062.9</v>
      </c>
      <c r="H21" s="36">
        <f>H22+H23</f>
        <v>1826</v>
      </c>
      <c r="I21" s="36">
        <f>I22+I23</f>
        <v>1613.3</v>
      </c>
      <c r="J21" s="77"/>
      <c r="K21" s="107"/>
      <c r="L21" s="107"/>
      <c r="M21" s="107"/>
      <c r="N21" s="74"/>
      <c r="O21" s="82"/>
      <c r="P21" s="74"/>
      <c r="Q21" s="74"/>
      <c r="R21" s="82"/>
      <c r="S21" s="74"/>
    </row>
    <row r="22" spans="1:20" ht="37.5" x14ac:dyDescent="0.25">
      <c r="A22" s="37" t="s">
        <v>40</v>
      </c>
      <c r="B22" s="37" t="s">
        <v>16</v>
      </c>
      <c r="C22" s="38" t="s">
        <v>41</v>
      </c>
      <c r="D22" s="39" t="s">
        <v>42</v>
      </c>
      <c r="E22" s="49">
        <f>6343793*1.075/0.45/1000</f>
        <v>15154.616611111111</v>
      </c>
      <c r="F22" s="42">
        <f>950+111.8-50+590</f>
        <v>1601.8</v>
      </c>
      <c r="G22" s="42">
        <f>2100-37.1</f>
        <v>2062.9</v>
      </c>
      <c r="H22" s="42">
        <f>1834-8</f>
        <v>1826</v>
      </c>
      <c r="I22" s="42">
        <f>900-66.7+780</f>
        <v>1613.3</v>
      </c>
      <c r="J22" s="89">
        <f>6343793*1.075/1000</f>
        <v>6819.577475</v>
      </c>
      <c r="K22" s="109"/>
      <c r="L22" s="109">
        <f>E22*1.055</f>
        <v>15988.120524722221</v>
      </c>
      <c r="M22" s="102">
        <f>E22</f>
        <v>15154.616611111111</v>
      </c>
      <c r="N22" s="74"/>
      <c r="O22" s="82">
        <f>L22*1.048</f>
        <v>16755.550309908889</v>
      </c>
      <c r="P22" s="74"/>
      <c r="Q22" s="74"/>
      <c r="R22" s="82"/>
      <c r="S22" s="74"/>
    </row>
    <row r="23" spans="1:20" ht="56.25" x14ac:dyDescent="0.25">
      <c r="A23" s="37" t="s">
        <v>43</v>
      </c>
      <c r="B23" s="37" t="s">
        <v>16</v>
      </c>
      <c r="C23" s="38" t="s">
        <v>44</v>
      </c>
      <c r="D23" s="39" t="s">
        <v>45</v>
      </c>
      <c r="E23" s="49">
        <f>5163*1.075/0.45/1000</f>
        <v>12.333833333333333</v>
      </c>
      <c r="F23" s="43">
        <v>50</v>
      </c>
      <c r="G23" s="43">
        <v>0</v>
      </c>
      <c r="H23" s="43">
        <v>0</v>
      </c>
      <c r="I23" s="43">
        <v>0</v>
      </c>
      <c r="J23" s="90">
        <f>5163*1.075/1000</f>
        <v>5.5502249999999993</v>
      </c>
      <c r="K23" s="110"/>
      <c r="L23" s="109">
        <f>E23*1.055</f>
        <v>13.012194166666665</v>
      </c>
      <c r="M23" s="102">
        <f>E23</f>
        <v>12.333833333333333</v>
      </c>
      <c r="N23" s="74"/>
      <c r="O23" s="82">
        <f>L23*1.048</f>
        <v>13.636779486666667</v>
      </c>
      <c r="P23" s="74"/>
      <c r="Q23" s="74"/>
      <c r="R23" s="82"/>
      <c r="S23" s="74"/>
    </row>
    <row r="24" spans="1:20" ht="37.5" x14ac:dyDescent="0.25">
      <c r="A24" s="33" t="s">
        <v>46</v>
      </c>
      <c r="B24" s="33" t="s">
        <v>16</v>
      </c>
      <c r="C24" s="30" t="s">
        <v>47</v>
      </c>
      <c r="D24" s="31" t="s">
        <v>48</v>
      </c>
      <c r="E24" s="103">
        <f>E25</f>
        <v>1158.7448888888887</v>
      </c>
      <c r="F24" s="43"/>
      <c r="G24" s="43"/>
      <c r="H24" s="43"/>
      <c r="I24" s="43"/>
      <c r="J24" s="90"/>
      <c r="K24" s="110"/>
      <c r="L24" s="110"/>
      <c r="M24" s="74"/>
      <c r="N24" s="74"/>
      <c r="O24" s="82"/>
      <c r="P24" s="74"/>
      <c r="Q24" s="74"/>
      <c r="R24" s="82"/>
      <c r="S24" s="74"/>
    </row>
    <row r="25" spans="1:20" ht="56.25" x14ac:dyDescent="0.25">
      <c r="A25" s="37" t="s">
        <v>49</v>
      </c>
      <c r="B25" s="37" t="s">
        <v>16</v>
      </c>
      <c r="C25" s="37" t="s">
        <v>50</v>
      </c>
      <c r="D25" s="44" t="s">
        <v>51</v>
      </c>
      <c r="E25" s="49">
        <f>485056*1.075/0.45/1000</f>
        <v>1158.7448888888887</v>
      </c>
      <c r="F25" s="43"/>
      <c r="G25" s="43"/>
      <c r="H25" s="43"/>
      <c r="I25" s="43"/>
      <c r="J25" s="90">
        <f>485056*1.075/1000</f>
        <v>521.43520000000001</v>
      </c>
      <c r="K25" s="110"/>
      <c r="L25" s="110">
        <f>E25*1.055</f>
        <v>1222.4758577777775</v>
      </c>
      <c r="M25" s="102">
        <f>E25</f>
        <v>1158.7448888888887</v>
      </c>
      <c r="N25" s="102"/>
      <c r="O25" s="82">
        <f>L25*1.048</f>
        <v>1281.154698951111</v>
      </c>
      <c r="P25" s="74"/>
      <c r="Q25" s="74"/>
      <c r="R25" s="82"/>
      <c r="S25" s="74"/>
    </row>
    <row r="26" spans="1:20" ht="18.75" hidden="1" x14ac:dyDescent="0.25">
      <c r="A26" s="33"/>
      <c r="B26" s="33"/>
      <c r="C26" s="30"/>
      <c r="D26" s="31"/>
      <c r="E26" s="103"/>
      <c r="F26" s="34">
        <f>F27</f>
        <v>0</v>
      </c>
      <c r="G26" s="34">
        <f>G27</f>
        <v>0</v>
      </c>
      <c r="H26" s="34">
        <f>H27</f>
        <v>0</v>
      </c>
      <c r="I26" s="34">
        <f>I27</f>
        <v>5</v>
      </c>
      <c r="J26" s="49">
        <f>14007.1+58.7</f>
        <v>14065.800000000001</v>
      </c>
      <c r="K26" s="118"/>
      <c r="L26" s="76"/>
      <c r="M26" s="76"/>
      <c r="N26" s="74"/>
      <c r="O26" s="74"/>
      <c r="P26" s="74"/>
      <c r="Q26" s="74"/>
      <c r="R26" s="74"/>
      <c r="S26" s="74"/>
    </row>
    <row r="27" spans="1:20" ht="22.5" hidden="1" customHeight="1" x14ac:dyDescent="0.25">
      <c r="A27" s="33"/>
      <c r="B27" s="33"/>
      <c r="C27" s="30"/>
      <c r="D27" s="31"/>
      <c r="E27" s="103"/>
      <c r="F27" s="45">
        <f>SUM(F28)</f>
        <v>0</v>
      </c>
      <c r="G27" s="45">
        <f>SUM(G28)</f>
        <v>0</v>
      </c>
      <c r="H27" s="45">
        <f>SUM(H28)</f>
        <v>0</v>
      </c>
      <c r="I27" s="45">
        <f>SUM(I28)</f>
        <v>5</v>
      </c>
      <c r="J27" s="91"/>
      <c r="K27" s="111"/>
      <c r="L27" s="111"/>
      <c r="M27" s="74"/>
      <c r="N27" s="74"/>
      <c r="O27" s="74"/>
      <c r="P27" s="74"/>
      <c r="Q27" s="74"/>
      <c r="R27" s="74"/>
      <c r="S27" s="74"/>
    </row>
    <row r="28" spans="1:20" ht="18.75" hidden="1" x14ac:dyDescent="0.25">
      <c r="A28" s="37"/>
      <c r="B28" s="37"/>
      <c r="C28" s="38"/>
      <c r="D28" s="39"/>
      <c r="E28" s="49"/>
      <c r="F28" s="45">
        <v>0</v>
      </c>
      <c r="G28" s="45">
        <v>0</v>
      </c>
      <c r="H28" s="45">
        <v>0</v>
      </c>
      <c r="I28" s="45">
        <v>5</v>
      </c>
      <c r="J28" s="91">
        <f>SUM(J22:J26)</f>
        <v>21412.3629</v>
      </c>
      <c r="K28" s="91"/>
      <c r="L28" s="91"/>
      <c r="M28" s="91">
        <f t="shared" ref="M28" si="2">SUM(M22:M26)</f>
        <v>16325.695333333333</v>
      </c>
      <c r="N28" s="74"/>
      <c r="O28" s="128">
        <f>J28-M28</f>
        <v>5086.667566666667</v>
      </c>
      <c r="P28" s="74"/>
      <c r="Q28" s="74"/>
      <c r="R28" s="74"/>
      <c r="S28" s="74"/>
    </row>
    <row r="29" spans="1:20" ht="56.25" x14ac:dyDescent="0.25">
      <c r="A29" s="33" t="s">
        <v>52</v>
      </c>
      <c r="B29" s="33" t="s">
        <v>9</v>
      </c>
      <c r="C29" s="30" t="s">
        <v>54</v>
      </c>
      <c r="D29" s="31" t="s">
        <v>130</v>
      </c>
      <c r="E29" s="103">
        <f>E30+E33</f>
        <v>21.233333333333331</v>
      </c>
      <c r="F29" s="34" t="e">
        <f>#REF!</f>
        <v>#REF!</v>
      </c>
      <c r="G29" s="34" t="e">
        <f>#REF!</f>
        <v>#REF!</v>
      </c>
      <c r="H29" s="34" t="e">
        <f>#REF!</f>
        <v>#REF!</v>
      </c>
      <c r="I29" s="34" t="e">
        <f>#REF!</f>
        <v>#REF!</v>
      </c>
      <c r="J29" s="75"/>
      <c r="K29" s="76"/>
      <c r="L29" s="76"/>
      <c r="M29" s="102"/>
      <c r="N29" s="74"/>
      <c r="O29" s="74"/>
      <c r="P29" s="74"/>
      <c r="Q29" s="74"/>
      <c r="R29" s="74"/>
      <c r="S29" s="74"/>
    </row>
    <row r="30" spans="1:20" ht="20.25" customHeight="1" x14ac:dyDescent="0.25">
      <c r="A30" s="33" t="s">
        <v>192</v>
      </c>
      <c r="B30" s="33" t="s">
        <v>9</v>
      </c>
      <c r="C30" s="30" t="s">
        <v>56</v>
      </c>
      <c r="D30" s="31" t="s">
        <v>57</v>
      </c>
      <c r="E30" s="103">
        <f>E32</f>
        <v>6.3</v>
      </c>
      <c r="F30" s="34"/>
      <c r="G30" s="34"/>
      <c r="H30" s="34"/>
      <c r="I30" s="34"/>
      <c r="J30" s="75"/>
      <c r="K30" s="76"/>
      <c r="L30" s="76"/>
      <c r="M30" s="74"/>
      <c r="N30" s="74"/>
      <c r="O30" s="74"/>
      <c r="P30" s="74"/>
      <c r="Q30" s="74"/>
      <c r="R30" s="74"/>
      <c r="S30" s="74"/>
    </row>
    <row r="31" spans="1:20" ht="21.75" customHeight="1" x14ac:dyDescent="0.25">
      <c r="A31" s="33" t="s">
        <v>195</v>
      </c>
      <c r="B31" s="33" t="s">
        <v>9</v>
      </c>
      <c r="C31" s="30" t="s">
        <v>59</v>
      </c>
      <c r="D31" s="31" t="s">
        <v>60</v>
      </c>
      <c r="E31" s="103">
        <f>E32</f>
        <v>6.3</v>
      </c>
      <c r="F31" s="34"/>
      <c r="G31" s="34"/>
      <c r="H31" s="34"/>
      <c r="I31" s="34"/>
      <c r="J31" s="75"/>
      <c r="K31" s="76"/>
      <c r="L31" s="76"/>
      <c r="M31" s="74"/>
      <c r="N31" s="74"/>
      <c r="O31" s="74"/>
      <c r="P31" s="74"/>
      <c r="Q31" s="74"/>
      <c r="R31" s="74"/>
      <c r="S31" s="74"/>
    </row>
    <row r="32" spans="1:20" ht="75" x14ac:dyDescent="0.25">
      <c r="A32" s="46" t="s">
        <v>195</v>
      </c>
      <c r="B32" s="46" t="s">
        <v>61</v>
      </c>
      <c r="C32" s="47" t="s">
        <v>62</v>
      </c>
      <c r="D32" s="48" t="s">
        <v>63</v>
      </c>
      <c r="E32" s="49">
        <v>6.3</v>
      </c>
      <c r="F32" s="35" t="e">
        <f>F36+#REF!</f>
        <v>#REF!</v>
      </c>
      <c r="G32" s="35" t="e">
        <f>G36+#REF!</f>
        <v>#REF!</v>
      </c>
      <c r="H32" s="35" t="e">
        <f>H36+#REF!</f>
        <v>#REF!</v>
      </c>
      <c r="I32" s="35" t="e">
        <f>I36+#REF!</f>
        <v>#REF!</v>
      </c>
      <c r="J32" s="86"/>
      <c r="K32" s="106"/>
      <c r="L32" s="106">
        <f>E32</f>
        <v>6.3</v>
      </c>
      <c r="M32" s="106"/>
      <c r="N32" s="74"/>
      <c r="O32" s="102">
        <f>L32</f>
        <v>6.3</v>
      </c>
      <c r="P32" s="74"/>
      <c r="Q32" s="74"/>
      <c r="R32" s="74"/>
      <c r="S32" s="74"/>
    </row>
    <row r="33" spans="1:19" ht="18.75" x14ac:dyDescent="0.25">
      <c r="A33" s="33" t="s">
        <v>196</v>
      </c>
      <c r="B33" s="33" t="s">
        <v>9</v>
      </c>
      <c r="C33" s="30" t="s">
        <v>65</v>
      </c>
      <c r="D33" s="31" t="s">
        <v>66</v>
      </c>
      <c r="E33" s="103">
        <f>E34</f>
        <v>14.933333333333332</v>
      </c>
      <c r="F33" s="35"/>
      <c r="G33" s="35"/>
      <c r="H33" s="35"/>
      <c r="I33" s="35"/>
      <c r="J33" s="86"/>
      <c r="K33" s="106"/>
      <c r="L33" s="118"/>
      <c r="M33" s="111"/>
      <c r="N33" s="74"/>
      <c r="O33" s="74"/>
      <c r="P33" s="74"/>
      <c r="Q33" s="74"/>
      <c r="R33" s="74"/>
      <c r="S33" s="74"/>
    </row>
    <row r="34" spans="1:19" ht="20.25" customHeight="1" x14ac:dyDescent="0.25">
      <c r="A34" s="33" t="s">
        <v>199</v>
      </c>
      <c r="B34" s="33" t="s">
        <v>9</v>
      </c>
      <c r="C34" s="30" t="s">
        <v>68</v>
      </c>
      <c r="D34" s="31" t="s">
        <v>69</v>
      </c>
      <c r="E34" s="103">
        <f>E36</f>
        <v>14.933333333333332</v>
      </c>
      <c r="F34" s="35"/>
      <c r="G34" s="35"/>
      <c r="H34" s="35"/>
      <c r="I34" s="35"/>
      <c r="J34" s="86"/>
      <c r="K34" s="106"/>
      <c r="L34" s="76"/>
      <c r="M34" s="76"/>
      <c r="N34" s="76"/>
      <c r="O34" s="74"/>
      <c r="P34" s="74"/>
      <c r="Q34" s="74"/>
      <c r="R34" s="74"/>
      <c r="S34" s="74"/>
    </row>
    <row r="35" spans="1:19" ht="56.25" x14ac:dyDescent="0.25">
      <c r="A35" s="33" t="s">
        <v>477</v>
      </c>
      <c r="B35" s="33" t="s">
        <v>9</v>
      </c>
      <c r="C35" s="30" t="s">
        <v>70</v>
      </c>
      <c r="D35" s="31" t="s">
        <v>71</v>
      </c>
      <c r="E35" s="103">
        <f>E36</f>
        <v>14.933333333333332</v>
      </c>
      <c r="F35" s="35"/>
      <c r="G35" s="35"/>
      <c r="H35" s="35"/>
      <c r="I35" s="35"/>
      <c r="L35" s="74"/>
      <c r="M35" s="74"/>
      <c r="N35" s="74"/>
      <c r="O35" s="74"/>
      <c r="P35" s="74"/>
      <c r="Q35" s="74"/>
      <c r="R35" s="74"/>
      <c r="S35" s="74"/>
    </row>
    <row r="36" spans="1:19" ht="96" customHeight="1" x14ac:dyDescent="0.3">
      <c r="A36" s="46" t="s">
        <v>199</v>
      </c>
      <c r="B36" s="46" t="s">
        <v>72</v>
      </c>
      <c r="C36" s="47" t="s">
        <v>73</v>
      </c>
      <c r="D36" s="50" t="s">
        <v>138</v>
      </c>
      <c r="E36" s="49">
        <f>44800/1000/3</f>
        <v>14.933333333333332</v>
      </c>
      <c r="F36" s="45">
        <v>0</v>
      </c>
      <c r="G36" s="45">
        <v>0</v>
      </c>
      <c r="H36" s="45">
        <v>0</v>
      </c>
      <c r="I36" s="45">
        <v>20</v>
      </c>
      <c r="L36" s="102">
        <f>E36</f>
        <v>14.933333333333332</v>
      </c>
      <c r="M36" s="74"/>
      <c r="N36" s="74"/>
      <c r="O36" s="102">
        <f>L36</f>
        <v>14.933333333333332</v>
      </c>
      <c r="P36" s="74"/>
      <c r="Q36" s="74"/>
      <c r="R36" s="74"/>
      <c r="S36" s="74"/>
    </row>
    <row r="37" spans="1:19" ht="36" customHeight="1" x14ac:dyDescent="0.25">
      <c r="A37" s="33" t="s">
        <v>53</v>
      </c>
      <c r="B37" s="33" t="s">
        <v>9</v>
      </c>
      <c r="C37" s="51" t="s">
        <v>75</v>
      </c>
      <c r="D37" s="31" t="s">
        <v>76</v>
      </c>
      <c r="E37" s="103">
        <f>E38+E39+E41</f>
        <v>3254.7883033333337</v>
      </c>
      <c r="F37" s="34">
        <f>F38+F41</f>
        <v>721.3</v>
      </c>
      <c r="G37" s="34">
        <f>G38+G41</f>
        <v>2770.6</v>
      </c>
      <c r="H37" s="34">
        <f>H38+H41</f>
        <v>1543.4</v>
      </c>
      <c r="I37" s="34">
        <f>I38+I41</f>
        <v>300</v>
      </c>
      <c r="L37" s="74"/>
      <c r="M37" s="74"/>
      <c r="N37" s="74"/>
      <c r="O37" s="74"/>
      <c r="P37" s="74"/>
      <c r="Q37" s="74"/>
      <c r="R37" s="74"/>
      <c r="S37" s="74"/>
    </row>
    <row r="38" spans="1:19" ht="90" customHeight="1" x14ac:dyDescent="0.25">
      <c r="A38" s="37" t="s">
        <v>55</v>
      </c>
      <c r="B38" s="37" t="s">
        <v>16</v>
      </c>
      <c r="C38" s="52" t="s">
        <v>78</v>
      </c>
      <c r="D38" s="39" t="s">
        <v>79</v>
      </c>
      <c r="E38" s="49">
        <f>317100*1.076/1000</f>
        <v>341.19960000000003</v>
      </c>
      <c r="F38" s="53">
        <v>71.3</v>
      </c>
      <c r="G38" s="53">
        <v>100</v>
      </c>
      <c r="H38" s="53">
        <v>150</v>
      </c>
      <c r="I38" s="53">
        <v>100</v>
      </c>
      <c r="J38" s="104"/>
      <c r="K38" s="92"/>
      <c r="L38" s="290">
        <f>E38*1.082</f>
        <v>369.17796720000007</v>
      </c>
      <c r="M38" s="290"/>
      <c r="N38" s="290"/>
      <c r="O38" s="290">
        <f>L38*1.069</f>
        <v>394.65124693680008</v>
      </c>
      <c r="P38" s="74"/>
      <c r="Q38" s="74"/>
      <c r="R38" s="74"/>
      <c r="S38" s="74"/>
    </row>
    <row r="39" spans="1:19" ht="57" customHeight="1" x14ac:dyDescent="0.25">
      <c r="A39" s="33" t="s">
        <v>64</v>
      </c>
      <c r="B39" s="33" t="s">
        <v>9</v>
      </c>
      <c r="C39" s="51" t="s">
        <v>81</v>
      </c>
      <c r="D39" s="31" t="s">
        <v>82</v>
      </c>
      <c r="E39" s="103">
        <f>E40</f>
        <v>1</v>
      </c>
      <c r="F39" s="53"/>
      <c r="G39" s="53"/>
      <c r="H39" s="53"/>
      <c r="I39" s="53"/>
      <c r="J39" s="92"/>
      <c r="K39" s="92"/>
      <c r="L39" s="92"/>
      <c r="M39" s="74"/>
      <c r="N39" s="74"/>
      <c r="O39" s="74"/>
      <c r="P39" s="74"/>
      <c r="Q39" s="74"/>
      <c r="R39" s="74"/>
      <c r="S39" s="74"/>
    </row>
    <row r="40" spans="1:19" ht="108" customHeight="1" x14ac:dyDescent="0.25">
      <c r="A40" s="37" t="s">
        <v>67</v>
      </c>
      <c r="B40" s="37" t="s">
        <v>84</v>
      </c>
      <c r="C40" s="52" t="s">
        <v>85</v>
      </c>
      <c r="D40" s="39" t="s">
        <v>86</v>
      </c>
      <c r="E40" s="49">
        <v>1</v>
      </c>
      <c r="F40" s="53"/>
      <c r="G40" s="53"/>
      <c r="H40" s="53"/>
      <c r="I40" s="53"/>
      <c r="J40" s="92"/>
      <c r="K40" s="92"/>
      <c r="L40" s="92">
        <f>E40</f>
        <v>1</v>
      </c>
      <c r="M40" s="74"/>
      <c r="N40" s="74"/>
      <c r="O40" s="291">
        <f>L40</f>
        <v>1</v>
      </c>
      <c r="P40" s="74"/>
      <c r="Q40" s="74"/>
      <c r="R40" s="74"/>
      <c r="S40" s="74"/>
    </row>
    <row r="41" spans="1:19" ht="37.5" x14ac:dyDescent="0.25">
      <c r="A41" s="33" t="s">
        <v>478</v>
      </c>
      <c r="B41" s="33" t="s">
        <v>9</v>
      </c>
      <c r="C41" s="51" t="s">
        <v>88</v>
      </c>
      <c r="D41" s="31" t="s">
        <v>89</v>
      </c>
      <c r="E41" s="103">
        <f>SUM(E42)</f>
        <v>2912.5887033333338</v>
      </c>
      <c r="F41" s="54">
        <f>SUM(F42)</f>
        <v>650</v>
      </c>
      <c r="G41" s="54">
        <f>SUM(G42)</f>
        <v>2670.6</v>
      </c>
      <c r="H41" s="54">
        <f>SUM(H42)</f>
        <v>1393.4</v>
      </c>
      <c r="I41" s="54">
        <f>SUM(I42)</f>
        <v>200</v>
      </c>
      <c r="J41" s="93"/>
      <c r="K41" s="93"/>
      <c r="L41" s="93"/>
      <c r="M41" s="74"/>
      <c r="N41" s="74"/>
      <c r="O41" s="74"/>
      <c r="P41" s="74"/>
      <c r="Q41" s="74"/>
      <c r="R41" s="74"/>
      <c r="S41" s="74"/>
    </row>
    <row r="42" spans="1:19" ht="93.75" x14ac:dyDescent="0.25">
      <c r="A42" s="33" t="s">
        <v>479</v>
      </c>
      <c r="B42" s="33" t="s">
        <v>9</v>
      </c>
      <c r="C42" s="55" t="s">
        <v>90</v>
      </c>
      <c r="D42" s="31" t="s">
        <v>91</v>
      </c>
      <c r="E42" s="103">
        <f>SUM(E43:E48)</f>
        <v>2912.5887033333338</v>
      </c>
      <c r="F42" s="53">
        <f>SUM(F43+F48)</f>
        <v>650</v>
      </c>
      <c r="G42" s="53">
        <f>SUM(G43+G48)</f>
        <v>2670.6</v>
      </c>
      <c r="H42" s="53">
        <f>SUM(H43+H48)</f>
        <v>1393.4</v>
      </c>
      <c r="I42" s="53">
        <f>SUM(I43+I48)</f>
        <v>200</v>
      </c>
      <c r="J42" s="92"/>
      <c r="K42" s="92"/>
      <c r="L42" s="92"/>
      <c r="M42" s="74"/>
      <c r="N42" s="74"/>
      <c r="O42" s="74"/>
      <c r="P42" s="74"/>
      <c r="Q42" s="74"/>
      <c r="R42" s="74"/>
      <c r="S42" s="74"/>
    </row>
    <row r="43" spans="1:19" ht="75" x14ac:dyDescent="0.25">
      <c r="A43" s="37" t="s">
        <v>480</v>
      </c>
      <c r="B43" s="37" t="s">
        <v>92</v>
      </c>
      <c r="C43" s="52" t="s">
        <v>93</v>
      </c>
      <c r="D43" s="39" t="s">
        <v>94</v>
      </c>
      <c r="E43" s="49">
        <v>2218.8000000000002</v>
      </c>
      <c r="F43" s="53">
        <v>650</v>
      </c>
      <c r="G43" s="53">
        <v>2669.6</v>
      </c>
      <c r="H43" s="53">
        <v>1393.4</v>
      </c>
      <c r="I43" s="53">
        <v>200</v>
      </c>
      <c r="J43" s="104"/>
      <c r="K43" s="92"/>
      <c r="L43" s="92">
        <f t="shared" ref="L43:L48" si="3">E43*1.082</f>
        <v>2400.7416000000003</v>
      </c>
      <c r="M43" s="112"/>
      <c r="N43" s="74"/>
      <c r="O43" s="292">
        <f>L43*1.069</f>
        <v>2566.3927704000002</v>
      </c>
      <c r="P43" s="74"/>
      <c r="Q43" s="74"/>
      <c r="R43" s="74"/>
      <c r="S43" s="74"/>
    </row>
    <row r="44" spans="1:19" ht="75" x14ac:dyDescent="0.25">
      <c r="A44" s="37" t="s">
        <v>481</v>
      </c>
      <c r="B44" s="37" t="s">
        <v>95</v>
      </c>
      <c r="C44" s="52" t="s">
        <v>93</v>
      </c>
      <c r="D44" s="39" t="s">
        <v>94</v>
      </c>
      <c r="E44" s="49">
        <f>309.9*1.076</f>
        <v>333.45240000000001</v>
      </c>
      <c r="F44" s="53"/>
      <c r="G44" s="53"/>
      <c r="H44" s="53"/>
      <c r="I44" s="53"/>
      <c r="J44" s="92"/>
      <c r="K44" s="92"/>
      <c r="L44" s="92">
        <f t="shared" si="3"/>
        <v>360.79549680000002</v>
      </c>
      <c r="M44" s="74"/>
      <c r="N44" s="74"/>
      <c r="O44" s="290">
        <f t="shared" ref="O44:O48" si="4">L44*1.069</f>
        <v>385.69038607919998</v>
      </c>
      <c r="P44" s="74"/>
      <c r="Q44" s="74"/>
      <c r="R44" s="74"/>
      <c r="S44" s="74"/>
    </row>
    <row r="45" spans="1:19" ht="75" x14ac:dyDescent="0.25">
      <c r="A45" s="37" t="s">
        <v>482</v>
      </c>
      <c r="B45" s="37" t="s">
        <v>96</v>
      </c>
      <c r="C45" s="52" t="s">
        <v>93</v>
      </c>
      <c r="D45" s="39" t="s">
        <v>94</v>
      </c>
      <c r="E45" s="49">
        <f>94*1.076</f>
        <v>101.14400000000001</v>
      </c>
      <c r="F45" s="53"/>
      <c r="G45" s="53"/>
      <c r="H45" s="53"/>
      <c r="I45" s="53"/>
      <c r="J45" s="92"/>
      <c r="K45" s="92"/>
      <c r="L45" s="92">
        <f t="shared" si="3"/>
        <v>109.43780800000002</v>
      </c>
      <c r="M45" s="74"/>
      <c r="N45" s="74"/>
      <c r="O45" s="290">
        <f t="shared" si="4"/>
        <v>116.98901675200001</v>
      </c>
      <c r="P45" s="74"/>
      <c r="Q45" s="74"/>
      <c r="R45" s="74"/>
      <c r="S45" s="74"/>
    </row>
    <row r="46" spans="1:19" ht="75" x14ac:dyDescent="0.25">
      <c r="A46" s="37" t="s">
        <v>483</v>
      </c>
      <c r="B46" s="37" t="s">
        <v>97</v>
      </c>
      <c r="C46" s="52" t="s">
        <v>93</v>
      </c>
      <c r="D46" s="39" t="s">
        <v>94</v>
      </c>
      <c r="E46" s="49">
        <f>90000*1.076/1000</f>
        <v>96.84</v>
      </c>
      <c r="F46" s="53"/>
      <c r="G46" s="53"/>
      <c r="H46" s="53"/>
      <c r="I46" s="53"/>
      <c r="J46" s="92"/>
      <c r="K46" s="92"/>
      <c r="L46" s="92">
        <f t="shared" si="3"/>
        <v>104.78088000000001</v>
      </c>
      <c r="M46" s="74"/>
      <c r="N46" s="74"/>
      <c r="O46" s="290">
        <f t="shared" si="4"/>
        <v>112.01076072000001</v>
      </c>
      <c r="P46" s="74"/>
      <c r="Q46" s="74"/>
      <c r="R46" s="74"/>
      <c r="S46" s="74"/>
    </row>
    <row r="47" spans="1:19" ht="75" x14ac:dyDescent="0.25">
      <c r="A47" s="37" t="s">
        <v>484</v>
      </c>
      <c r="B47" s="37" t="s">
        <v>98</v>
      </c>
      <c r="C47" s="52" t="s">
        <v>93</v>
      </c>
      <c r="D47" s="39" t="s">
        <v>94</v>
      </c>
      <c r="E47" s="49">
        <f>(35319.25+234237.66+169500)/3/1000</f>
        <v>146.35230333333334</v>
      </c>
      <c r="F47" s="53"/>
      <c r="G47" s="53"/>
      <c r="H47" s="53"/>
      <c r="I47" s="53"/>
      <c r="J47" s="92"/>
      <c r="K47" s="92"/>
      <c r="L47" s="92">
        <f t="shared" si="3"/>
        <v>158.35319220666668</v>
      </c>
      <c r="M47" s="74"/>
      <c r="N47" s="74"/>
      <c r="O47" s="290">
        <f t="shared" si="4"/>
        <v>169.27956246892666</v>
      </c>
      <c r="P47" s="74"/>
      <c r="Q47" s="74"/>
      <c r="R47" s="74"/>
      <c r="S47" s="74"/>
    </row>
    <row r="48" spans="1:19" ht="93.75" x14ac:dyDescent="0.25">
      <c r="A48" s="37" t="s">
        <v>485</v>
      </c>
      <c r="B48" s="37" t="s">
        <v>98</v>
      </c>
      <c r="C48" s="52" t="s">
        <v>99</v>
      </c>
      <c r="D48" s="39" t="s">
        <v>100</v>
      </c>
      <c r="E48" s="49">
        <f>(44000+4000+0)/3/1000</f>
        <v>16</v>
      </c>
      <c r="F48" s="53">
        <v>0</v>
      </c>
      <c r="G48" s="53">
        <v>1</v>
      </c>
      <c r="H48" s="53">
        <v>0</v>
      </c>
      <c r="I48" s="53">
        <v>0</v>
      </c>
      <c r="J48" s="92"/>
      <c r="K48" s="92"/>
      <c r="L48" s="92">
        <f t="shared" si="3"/>
        <v>17.312000000000001</v>
      </c>
      <c r="M48" s="74"/>
      <c r="N48" s="74"/>
      <c r="O48" s="290">
        <f t="shared" si="4"/>
        <v>18.506527999999999</v>
      </c>
      <c r="P48" s="74"/>
      <c r="Q48" s="74"/>
      <c r="R48" s="74"/>
      <c r="S48" s="74"/>
    </row>
    <row r="49" spans="1:19" s="72" customFormat="1" ht="18.75" x14ac:dyDescent="0.25">
      <c r="A49" s="33" t="s">
        <v>74</v>
      </c>
      <c r="B49" s="33" t="s">
        <v>9</v>
      </c>
      <c r="C49" s="51" t="s">
        <v>131</v>
      </c>
      <c r="D49" s="31" t="s">
        <v>132</v>
      </c>
      <c r="E49" s="103">
        <f>E50</f>
        <v>152.4342</v>
      </c>
      <c r="F49" s="78"/>
      <c r="G49" s="78"/>
      <c r="H49" s="78"/>
      <c r="I49" s="78"/>
      <c r="J49" s="94"/>
      <c r="K49" s="94"/>
      <c r="L49" s="94"/>
      <c r="M49" s="79"/>
      <c r="N49" s="79"/>
      <c r="O49" s="79"/>
      <c r="P49" s="79"/>
      <c r="Q49" s="79"/>
      <c r="R49" s="79"/>
      <c r="S49" s="79"/>
    </row>
    <row r="50" spans="1:19" s="72" customFormat="1" ht="18.75" x14ac:dyDescent="0.25">
      <c r="A50" s="33" t="s">
        <v>77</v>
      </c>
      <c r="B50" s="33" t="s">
        <v>9</v>
      </c>
      <c r="C50" s="51" t="s">
        <v>133</v>
      </c>
      <c r="D50" s="31" t="s">
        <v>134</v>
      </c>
      <c r="E50" s="103">
        <f>E51</f>
        <v>152.4342</v>
      </c>
      <c r="F50" s="78"/>
      <c r="G50" s="78"/>
      <c r="H50" s="78"/>
      <c r="I50" s="78"/>
      <c r="J50" s="94"/>
      <c r="K50" s="94"/>
      <c r="L50" s="94"/>
      <c r="M50" s="79"/>
      <c r="N50" s="79"/>
      <c r="O50" s="79"/>
      <c r="P50" s="79"/>
      <c r="Q50" s="79"/>
      <c r="R50" s="79"/>
      <c r="S50" s="79"/>
    </row>
    <row r="51" spans="1:19" ht="56.25" x14ac:dyDescent="0.25">
      <c r="A51" s="37" t="s">
        <v>220</v>
      </c>
      <c r="B51" s="37" t="s">
        <v>61</v>
      </c>
      <c r="C51" s="52" t="s">
        <v>135</v>
      </c>
      <c r="D51" s="39" t="s">
        <v>136</v>
      </c>
      <c r="E51" s="49">
        <f>143.4*1.063</f>
        <v>152.4342</v>
      </c>
      <c r="F51" s="53"/>
      <c r="G51" s="53"/>
      <c r="H51" s="53"/>
      <c r="I51" s="53"/>
      <c r="J51" s="92"/>
      <c r="K51" s="92"/>
      <c r="L51" s="92">
        <f>E51</f>
        <v>152.4342</v>
      </c>
      <c r="M51" s="74"/>
      <c r="N51" s="74"/>
      <c r="O51" s="291">
        <f>L51</f>
        <v>152.4342</v>
      </c>
      <c r="P51" s="74"/>
      <c r="Q51" s="74"/>
      <c r="R51" s="74"/>
      <c r="S51" s="74"/>
    </row>
    <row r="52" spans="1:19" ht="18.75" x14ac:dyDescent="0.25">
      <c r="A52" s="33" t="s">
        <v>128</v>
      </c>
      <c r="B52" s="33" t="s">
        <v>9</v>
      </c>
      <c r="C52" s="51" t="s">
        <v>102</v>
      </c>
      <c r="D52" s="31" t="s">
        <v>103</v>
      </c>
      <c r="E52" s="103">
        <f t="shared" ref="E52:I52" si="5">E53</f>
        <v>31231.8</v>
      </c>
      <c r="F52" s="34">
        <f t="shared" si="5"/>
        <v>1326.3999999999999</v>
      </c>
      <c r="G52" s="34">
        <f t="shared" si="5"/>
        <v>1435.1</v>
      </c>
      <c r="H52" s="34">
        <f t="shared" si="5"/>
        <v>1493.9</v>
      </c>
      <c r="I52" s="34">
        <f t="shared" si="5"/>
        <v>2139.3000000000002</v>
      </c>
      <c r="J52" s="76"/>
      <c r="K52" s="76"/>
      <c r="L52" s="76"/>
      <c r="M52" s="74"/>
      <c r="N52" s="74"/>
      <c r="O52" s="74"/>
      <c r="P52" s="74"/>
      <c r="Q52" s="74"/>
      <c r="R52" s="74"/>
      <c r="S52" s="74"/>
    </row>
    <row r="53" spans="1:19" ht="56.25" x14ac:dyDescent="0.25">
      <c r="A53" s="33" t="s">
        <v>126</v>
      </c>
      <c r="B53" s="33" t="s">
        <v>9</v>
      </c>
      <c r="C53" s="51" t="s">
        <v>105</v>
      </c>
      <c r="D53" s="31" t="s">
        <v>106</v>
      </c>
      <c r="E53" s="103">
        <f>E57+E55</f>
        <v>31231.8</v>
      </c>
      <c r="F53" s="56">
        <f>F57</f>
        <v>1326.3999999999999</v>
      </c>
      <c r="G53" s="56">
        <f>G57</f>
        <v>1435.1</v>
      </c>
      <c r="H53" s="56">
        <f>H57</f>
        <v>1493.9</v>
      </c>
      <c r="I53" s="56">
        <f>I57</f>
        <v>2139.3000000000002</v>
      </c>
      <c r="J53" s="95"/>
      <c r="K53" s="95"/>
      <c r="L53" s="95"/>
      <c r="M53" s="74"/>
      <c r="N53" s="74"/>
      <c r="O53" s="74"/>
      <c r="P53" s="74"/>
      <c r="Q53" s="74"/>
      <c r="R53" s="74"/>
      <c r="S53" s="74"/>
    </row>
    <row r="54" spans="1:19" ht="42" customHeight="1" x14ac:dyDescent="0.25">
      <c r="A54" s="33" t="s">
        <v>129</v>
      </c>
      <c r="B54" s="33" t="s">
        <v>9</v>
      </c>
      <c r="C54" s="51" t="s">
        <v>376</v>
      </c>
      <c r="D54" s="31" t="s">
        <v>377</v>
      </c>
      <c r="E54" s="103">
        <f>E55</f>
        <v>20000</v>
      </c>
      <c r="F54" s="56"/>
      <c r="G54" s="56"/>
      <c r="H54" s="56"/>
      <c r="I54" s="56"/>
      <c r="J54" s="95"/>
      <c r="K54" s="95"/>
      <c r="L54" s="95"/>
      <c r="M54" s="74"/>
      <c r="N54" s="74"/>
      <c r="O54" s="74"/>
      <c r="P54" s="74"/>
      <c r="Q54" s="74"/>
      <c r="R54" s="74"/>
      <c r="S54" s="74"/>
    </row>
    <row r="55" spans="1:19" ht="26.25" customHeight="1" x14ac:dyDescent="0.25">
      <c r="A55" s="33" t="s">
        <v>127</v>
      </c>
      <c r="B55" s="33" t="s">
        <v>9</v>
      </c>
      <c r="C55" s="51" t="s">
        <v>507</v>
      </c>
      <c r="D55" s="31" t="s">
        <v>508</v>
      </c>
      <c r="E55" s="103">
        <f>E56</f>
        <v>20000</v>
      </c>
      <c r="F55" s="56"/>
      <c r="G55" s="56"/>
      <c r="H55" s="56"/>
      <c r="I55" s="56"/>
      <c r="J55" s="95"/>
      <c r="K55" s="95"/>
      <c r="L55" s="95"/>
      <c r="M55" s="74"/>
      <c r="N55" s="74"/>
      <c r="O55" s="74"/>
      <c r="P55" s="74"/>
      <c r="Q55" s="74"/>
      <c r="R55" s="74"/>
      <c r="S55" s="74"/>
    </row>
    <row r="56" spans="1:19" ht="58.5" customHeight="1" x14ac:dyDescent="0.25">
      <c r="A56" s="37" t="s">
        <v>137</v>
      </c>
      <c r="B56" s="37" t="s">
        <v>61</v>
      </c>
      <c r="C56" s="52" t="s">
        <v>509</v>
      </c>
      <c r="D56" s="295" t="s">
        <v>510</v>
      </c>
      <c r="E56" s="49">
        <v>20000</v>
      </c>
      <c r="F56" s="56"/>
      <c r="G56" s="56"/>
      <c r="H56" s="56"/>
      <c r="I56" s="56"/>
      <c r="J56" s="95"/>
      <c r="K56" s="95"/>
      <c r="L56" s="95"/>
      <c r="M56" s="74"/>
      <c r="N56" s="74"/>
      <c r="O56" s="74"/>
      <c r="P56" s="74"/>
      <c r="Q56" s="74"/>
      <c r="R56" s="74"/>
      <c r="S56" s="74"/>
    </row>
    <row r="57" spans="1:19" ht="37.5" x14ac:dyDescent="0.25">
      <c r="A57" s="33" t="s">
        <v>341</v>
      </c>
      <c r="B57" s="33" t="s">
        <v>9</v>
      </c>
      <c r="C57" s="51" t="s">
        <v>108</v>
      </c>
      <c r="D57" s="31" t="s">
        <v>488</v>
      </c>
      <c r="E57" s="103">
        <f>E58+E62</f>
        <v>11231.8</v>
      </c>
      <c r="F57" s="57">
        <f>F58+F62</f>
        <v>1326.3999999999999</v>
      </c>
      <c r="G57" s="57">
        <f>G58+G62</f>
        <v>1435.1</v>
      </c>
      <c r="H57" s="57">
        <f>H58+H62</f>
        <v>1493.9</v>
      </c>
      <c r="I57" s="57">
        <f>I58+I62</f>
        <v>2139.3000000000002</v>
      </c>
      <c r="J57" s="96"/>
      <c r="K57" s="96"/>
      <c r="L57" s="96"/>
      <c r="M57" s="74"/>
      <c r="N57" s="74"/>
      <c r="O57" s="74"/>
      <c r="P57" s="74"/>
      <c r="Q57" s="74"/>
      <c r="R57" s="74"/>
      <c r="S57" s="74"/>
    </row>
    <row r="58" spans="1:19" ht="56.25" x14ac:dyDescent="0.25">
      <c r="A58" s="33" t="s">
        <v>345</v>
      </c>
      <c r="B58" s="33" t="s">
        <v>9</v>
      </c>
      <c r="C58" s="51" t="s">
        <v>109</v>
      </c>
      <c r="D58" s="31" t="s">
        <v>110</v>
      </c>
      <c r="E58" s="103">
        <f>E59</f>
        <v>2564.6999999999998</v>
      </c>
      <c r="F58" s="57">
        <f>F59</f>
        <v>444.8</v>
      </c>
      <c r="G58" s="57">
        <f>G59</f>
        <v>435.1</v>
      </c>
      <c r="H58" s="57">
        <f>H59</f>
        <v>493.9</v>
      </c>
      <c r="I58" s="57">
        <f>I59</f>
        <v>454.3</v>
      </c>
      <c r="J58" s="96"/>
      <c r="K58" s="96"/>
      <c r="L58" s="96"/>
      <c r="M58" s="74"/>
      <c r="N58" s="74"/>
      <c r="O58" s="74"/>
      <c r="P58" s="74"/>
      <c r="Q58" s="74"/>
      <c r="R58" s="74"/>
      <c r="S58" s="74"/>
    </row>
    <row r="59" spans="1:19" ht="93.75" x14ac:dyDescent="0.25">
      <c r="A59" s="33" t="s">
        <v>348</v>
      </c>
      <c r="B59" s="33" t="s">
        <v>61</v>
      </c>
      <c r="C59" s="51" t="s">
        <v>111</v>
      </c>
      <c r="D59" s="58" t="s">
        <v>112</v>
      </c>
      <c r="E59" s="103">
        <f>E60+E61</f>
        <v>2564.6999999999998</v>
      </c>
      <c r="F59" s="57">
        <f>F60+F61</f>
        <v>444.8</v>
      </c>
      <c r="G59" s="57">
        <f>G60+G61</f>
        <v>435.1</v>
      </c>
      <c r="H59" s="57">
        <f>H60+H61</f>
        <v>493.9</v>
      </c>
      <c r="I59" s="57">
        <f>I60+I61</f>
        <v>454.3</v>
      </c>
      <c r="J59" s="96"/>
      <c r="K59" s="96"/>
      <c r="L59" s="96"/>
      <c r="M59" s="74"/>
      <c r="N59" s="74"/>
      <c r="O59" s="74"/>
      <c r="P59" s="74"/>
      <c r="Q59" s="74"/>
      <c r="R59" s="74"/>
      <c r="S59" s="74"/>
    </row>
    <row r="60" spans="1:19" ht="93.75" x14ac:dyDescent="0.25">
      <c r="A60" s="37" t="s">
        <v>511</v>
      </c>
      <c r="B60" s="37" t="s">
        <v>61</v>
      </c>
      <c r="C60" s="52" t="s">
        <v>113</v>
      </c>
      <c r="D60" s="59" t="s">
        <v>114</v>
      </c>
      <c r="E60" s="49">
        <v>2558.1999999999998</v>
      </c>
      <c r="F60" s="41">
        <v>444.8</v>
      </c>
      <c r="G60" s="41">
        <v>435.1</v>
      </c>
      <c r="H60" s="41">
        <v>455.7</v>
      </c>
      <c r="I60" s="41">
        <v>454.3</v>
      </c>
      <c r="J60" s="97"/>
      <c r="K60" s="97"/>
      <c r="L60" s="97"/>
      <c r="M60" s="74"/>
      <c r="N60" s="74"/>
      <c r="O60" s="74"/>
      <c r="P60" s="74"/>
      <c r="Q60" s="74"/>
      <c r="R60" s="74"/>
      <c r="S60" s="74"/>
    </row>
    <row r="61" spans="1:19" ht="151.5" customHeight="1" x14ac:dyDescent="0.25">
      <c r="A61" s="37" t="s">
        <v>512</v>
      </c>
      <c r="B61" s="46" t="s">
        <v>61</v>
      </c>
      <c r="C61" s="60" t="s">
        <v>115</v>
      </c>
      <c r="D61" s="61" t="s">
        <v>116</v>
      </c>
      <c r="E61" s="49">
        <v>6.5</v>
      </c>
      <c r="F61" s="62">
        <v>0</v>
      </c>
      <c r="G61" s="62">
        <v>0</v>
      </c>
      <c r="H61" s="41">
        <v>38.200000000000003</v>
      </c>
      <c r="I61" s="62">
        <v>0</v>
      </c>
      <c r="J61" s="98"/>
      <c r="K61" s="98"/>
      <c r="L61" s="98"/>
      <c r="M61" s="74"/>
      <c r="N61" s="74"/>
      <c r="O61" s="74"/>
      <c r="P61" s="74"/>
      <c r="Q61" s="74"/>
      <c r="R61" s="74"/>
      <c r="S61" s="74"/>
    </row>
    <row r="62" spans="1:19" ht="72" customHeight="1" x14ac:dyDescent="0.25">
      <c r="A62" s="33" t="s">
        <v>513</v>
      </c>
      <c r="B62" s="33" t="s">
        <v>9</v>
      </c>
      <c r="C62" s="51" t="s">
        <v>117</v>
      </c>
      <c r="D62" s="31" t="s">
        <v>118</v>
      </c>
      <c r="E62" s="103">
        <f>E63</f>
        <v>8667.1</v>
      </c>
      <c r="F62" s="63">
        <f>F63</f>
        <v>881.59999999999991</v>
      </c>
      <c r="G62" s="63">
        <f>G63</f>
        <v>1000</v>
      </c>
      <c r="H62" s="63">
        <f>H63</f>
        <v>1000</v>
      </c>
      <c r="I62" s="63">
        <f>I63</f>
        <v>1685</v>
      </c>
      <c r="J62" s="99"/>
      <c r="K62" s="99"/>
      <c r="L62" s="99"/>
      <c r="M62" s="74"/>
      <c r="N62" s="74"/>
      <c r="O62" s="74"/>
      <c r="P62" s="74"/>
      <c r="Q62" s="74"/>
      <c r="R62" s="74"/>
      <c r="S62" s="74"/>
    </row>
    <row r="63" spans="1:19" ht="114.75" customHeight="1" x14ac:dyDescent="0.25">
      <c r="A63" s="33" t="s">
        <v>514</v>
      </c>
      <c r="B63" s="33" t="s">
        <v>61</v>
      </c>
      <c r="C63" s="51" t="s">
        <v>119</v>
      </c>
      <c r="D63" s="31" t="s">
        <v>120</v>
      </c>
      <c r="E63" s="103">
        <f>E64+E65</f>
        <v>8667.1</v>
      </c>
      <c r="F63" s="63">
        <f>F64+F65</f>
        <v>881.59999999999991</v>
      </c>
      <c r="G63" s="63">
        <f>G64+G65</f>
        <v>1000</v>
      </c>
      <c r="H63" s="63">
        <f>H64+H65</f>
        <v>1000</v>
      </c>
      <c r="I63" s="63">
        <f>I64+I65</f>
        <v>1685</v>
      </c>
      <c r="J63" s="99"/>
      <c r="K63" s="99"/>
      <c r="L63" s="99"/>
      <c r="M63" s="74"/>
      <c r="N63" s="74"/>
      <c r="O63" s="74"/>
      <c r="P63" s="74"/>
      <c r="Q63" s="74"/>
      <c r="R63" s="74"/>
      <c r="S63" s="74"/>
    </row>
    <row r="64" spans="1:19" ht="54.75" customHeight="1" x14ac:dyDescent="0.25">
      <c r="A64" s="37" t="s">
        <v>515</v>
      </c>
      <c r="B64" s="37" t="s">
        <v>61</v>
      </c>
      <c r="C64" s="52" t="s">
        <v>121</v>
      </c>
      <c r="D64" s="39" t="s">
        <v>122</v>
      </c>
      <c r="E64" s="49">
        <v>5804</v>
      </c>
      <c r="F64" s="64">
        <v>665.4</v>
      </c>
      <c r="G64" s="64">
        <v>700</v>
      </c>
      <c r="H64" s="64">
        <v>700</v>
      </c>
      <c r="I64" s="64">
        <v>1128.5999999999999</v>
      </c>
      <c r="J64" s="100"/>
      <c r="K64" s="100"/>
      <c r="L64" s="100"/>
      <c r="M64" s="74"/>
      <c r="N64" s="74"/>
      <c r="O64" s="74"/>
      <c r="P64" s="74"/>
      <c r="Q64" s="74"/>
      <c r="R64" s="74"/>
      <c r="S64" s="74"/>
    </row>
    <row r="65" spans="1:19" ht="63" customHeight="1" x14ac:dyDescent="0.25">
      <c r="A65" s="37" t="s">
        <v>516</v>
      </c>
      <c r="B65" s="37" t="s">
        <v>61</v>
      </c>
      <c r="C65" s="52" t="s">
        <v>123</v>
      </c>
      <c r="D65" s="65" t="s">
        <v>124</v>
      </c>
      <c r="E65" s="49">
        <v>2863.1</v>
      </c>
      <c r="F65" s="64">
        <v>216.2</v>
      </c>
      <c r="G65" s="64">
        <v>300</v>
      </c>
      <c r="H65" s="64">
        <v>300</v>
      </c>
      <c r="I65" s="64">
        <v>556.4</v>
      </c>
      <c r="J65" s="100"/>
      <c r="K65" s="100"/>
      <c r="L65" s="100"/>
      <c r="M65" s="74"/>
      <c r="N65" s="74"/>
      <c r="O65" s="74"/>
      <c r="P65" s="74"/>
      <c r="Q65" s="74"/>
      <c r="R65" s="74"/>
      <c r="S65" s="74"/>
    </row>
    <row r="66" spans="1:19" ht="20.25" x14ac:dyDescent="0.25">
      <c r="A66" s="66"/>
      <c r="B66" s="66"/>
      <c r="C66" s="66"/>
      <c r="D66" s="67" t="s">
        <v>125</v>
      </c>
      <c r="E66" s="68">
        <f>SUM(E11+E52)</f>
        <v>82203.819730000003</v>
      </c>
      <c r="F66" s="69" t="e">
        <f>SUM(F11+F52)</f>
        <v>#REF!</v>
      </c>
      <c r="G66" s="69" t="e">
        <f>SUM(G11+G52)</f>
        <v>#REF!</v>
      </c>
      <c r="H66" s="69" t="e">
        <f>SUM(H11+H52)</f>
        <v>#REF!</v>
      </c>
      <c r="I66" s="69" t="e">
        <f>SUM(I11+I52)</f>
        <v>#REF!</v>
      </c>
      <c r="J66" s="101"/>
      <c r="K66" s="101"/>
      <c r="L66" s="101"/>
      <c r="M66" s="126"/>
      <c r="N66" s="74"/>
      <c r="O66" s="82"/>
      <c r="P66" s="74"/>
      <c r="Q66" s="74"/>
      <c r="R66" s="74"/>
      <c r="S66" s="74"/>
    </row>
    <row r="67" spans="1:19" ht="15.75" x14ac:dyDescent="0.25">
      <c r="A67" s="2"/>
      <c r="B67" s="2"/>
      <c r="C67" s="2"/>
      <c r="D67" s="70"/>
      <c r="E67" s="71"/>
      <c r="F67" s="2"/>
      <c r="G67" s="2"/>
      <c r="H67" s="2"/>
      <c r="I67" s="2"/>
      <c r="J67" s="73"/>
      <c r="K67" s="73"/>
      <c r="L67" s="80"/>
      <c r="M67" s="74"/>
      <c r="N67" s="74"/>
      <c r="O67" s="74"/>
      <c r="P67" s="74"/>
      <c r="Q67" s="74"/>
      <c r="R67" s="74"/>
      <c r="S67" s="74"/>
    </row>
    <row r="68" spans="1:19" x14ac:dyDescent="0.25">
      <c r="L68" s="74"/>
      <c r="M68" s="74"/>
      <c r="N68" s="74"/>
      <c r="O68" s="74"/>
      <c r="P68" s="74"/>
      <c r="Q68" s="74"/>
      <c r="R68" s="74"/>
      <c r="S68" s="74"/>
    </row>
  </sheetData>
  <mergeCells count="7">
    <mergeCell ref="C7:D7"/>
    <mergeCell ref="C8:D8"/>
    <mergeCell ref="D1:F1"/>
    <mergeCell ref="D2:E2"/>
    <mergeCell ref="D3:I3"/>
    <mergeCell ref="D4:E4"/>
    <mergeCell ref="A6:E6"/>
  </mergeCells>
  <pageMargins left="0.7" right="0.7" top="0.75" bottom="0.75" header="0.3" footer="0.3"/>
  <pageSetup paperSize="9" scale="62" fitToHeight="0" orientation="portrait" r:id="rId1"/>
  <rowBreaks count="2" manualBreakCount="2">
    <brk id="35" max="4" man="1"/>
    <brk id="4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132"/>
  <sheetViews>
    <sheetView view="pageBreakPreview" topLeftCell="A97" zoomScale="84" zoomScaleNormal="100" zoomScaleSheetLayoutView="84" workbookViewId="0">
      <selection activeCell="G119" sqref="G119"/>
    </sheetView>
  </sheetViews>
  <sheetFormatPr defaultRowHeight="15" x14ac:dyDescent="0.25"/>
  <cols>
    <col min="1" max="1" width="19.5703125" customWidth="1"/>
    <col min="2" max="2" width="66.140625" customWidth="1"/>
    <col min="3" max="3" width="10" customWidth="1"/>
    <col min="4" max="4" width="11.85546875" customWidth="1"/>
    <col min="5" max="5" width="16.5703125" customWidth="1"/>
    <col min="6" max="6" width="15.140625" customWidth="1"/>
    <col min="7" max="7" width="16" customWidth="1"/>
  </cols>
  <sheetData>
    <row r="1" spans="1:8" ht="19.5" x14ac:dyDescent="0.35">
      <c r="A1" s="288"/>
      <c r="B1" s="131"/>
      <c r="C1" s="132"/>
      <c r="D1" s="131"/>
      <c r="E1" s="133"/>
      <c r="F1" s="134"/>
      <c r="G1" s="130" t="s">
        <v>142</v>
      </c>
    </row>
    <row r="2" spans="1:8" ht="18.75" x14ac:dyDescent="0.3">
      <c r="A2" s="135"/>
      <c r="B2" s="131"/>
      <c r="C2" s="132"/>
      <c r="D2" s="132"/>
      <c r="E2" s="133"/>
      <c r="F2" s="134"/>
      <c r="G2" s="130" t="s">
        <v>143</v>
      </c>
    </row>
    <row r="3" spans="1:8" ht="18.75" x14ac:dyDescent="0.3">
      <c r="A3" s="135"/>
      <c r="B3" s="136"/>
      <c r="C3" s="137"/>
      <c r="D3" s="137"/>
      <c r="E3" s="137"/>
      <c r="F3" s="137"/>
      <c r="G3" s="138" t="s">
        <v>139</v>
      </c>
    </row>
    <row r="4" spans="1:8" ht="18.75" x14ac:dyDescent="0.3">
      <c r="A4" s="135"/>
      <c r="B4" s="139"/>
      <c r="C4" s="140"/>
      <c r="D4" s="141"/>
      <c r="E4" s="2"/>
      <c r="F4" s="137"/>
      <c r="G4" s="138" t="s">
        <v>519</v>
      </c>
    </row>
    <row r="5" spans="1:8" ht="18" x14ac:dyDescent="0.25">
      <c r="A5" s="142"/>
      <c r="B5" s="143"/>
      <c r="C5" s="144"/>
      <c r="D5" s="145"/>
      <c r="E5" s="129"/>
      <c r="F5" s="146"/>
      <c r="G5" s="146"/>
    </row>
    <row r="6" spans="1:8" ht="35.450000000000003" customHeight="1" x14ac:dyDescent="0.25">
      <c r="A6" s="311" t="s">
        <v>470</v>
      </c>
      <c r="B6" s="311"/>
      <c r="C6" s="311"/>
      <c r="D6" s="311"/>
      <c r="E6" s="311"/>
      <c r="F6" s="311"/>
      <c r="G6" s="311"/>
    </row>
    <row r="7" spans="1:8" ht="63" x14ac:dyDescent="0.25">
      <c r="A7" s="147" t="s">
        <v>144</v>
      </c>
      <c r="B7" s="147" t="s">
        <v>145</v>
      </c>
      <c r="C7" s="147" t="s">
        <v>146</v>
      </c>
      <c r="D7" s="147" t="s">
        <v>147</v>
      </c>
      <c r="E7" s="147" t="s">
        <v>148</v>
      </c>
      <c r="F7" s="147" t="s">
        <v>149</v>
      </c>
      <c r="G7" s="148" t="s">
        <v>150</v>
      </c>
      <c r="H7" s="149"/>
    </row>
    <row r="8" spans="1:8" ht="15.75" x14ac:dyDescent="0.25">
      <c r="A8" s="150">
        <v>1</v>
      </c>
      <c r="B8" s="150">
        <v>2</v>
      </c>
      <c r="C8" s="150" t="s">
        <v>151</v>
      </c>
      <c r="D8" s="150" t="s">
        <v>152</v>
      </c>
      <c r="E8" s="150" t="s">
        <v>153</v>
      </c>
      <c r="F8" s="150" t="s">
        <v>154</v>
      </c>
      <c r="G8" s="151">
        <v>8</v>
      </c>
      <c r="H8" s="149"/>
    </row>
    <row r="9" spans="1:8" ht="79.5" customHeight="1" x14ac:dyDescent="0.3">
      <c r="A9" s="152" t="s">
        <v>155</v>
      </c>
      <c r="B9" s="153" t="s">
        <v>156</v>
      </c>
      <c r="C9" s="154">
        <v>903</v>
      </c>
      <c r="D9" s="155"/>
      <c r="E9" s="155"/>
      <c r="F9" s="155"/>
      <c r="G9" s="156">
        <f>G10+G36+G40+G47+G66+G70+G85+G94+G103</f>
        <v>71289.399999999994</v>
      </c>
      <c r="H9" s="149"/>
    </row>
    <row r="10" spans="1:8" ht="20.25" x14ac:dyDescent="0.3">
      <c r="A10" s="157" t="s">
        <v>157</v>
      </c>
      <c r="B10" s="158" t="s">
        <v>158</v>
      </c>
      <c r="C10" s="157" t="s">
        <v>61</v>
      </c>
      <c r="D10" s="157" t="s">
        <v>159</v>
      </c>
      <c r="E10" s="157"/>
      <c r="F10" s="157"/>
      <c r="G10" s="159">
        <f>G11+G23+G26</f>
        <v>25983.5</v>
      </c>
      <c r="H10" s="149"/>
    </row>
    <row r="11" spans="1:8" ht="54" customHeight="1" x14ac:dyDescent="0.3">
      <c r="A11" s="160" t="s">
        <v>160</v>
      </c>
      <c r="B11" s="50" t="s">
        <v>161</v>
      </c>
      <c r="C11" s="160" t="s">
        <v>61</v>
      </c>
      <c r="D11" s="160" t="s">
        <v>162</v>
      </c>
      <c r="E11" s="160"/>
      <c r="F11" s="160"/>
      <c r="G11" s="161">
        <f>G12+G14+G18+G20</f>
        <v>16447.899999999998</v>
      </c>
      <c r="H11" s="149"/>
    </row>
    <row r="12" spans="1:8" ht="18.75" x14ac:dyDescent="0.3">
      <c r="A12" s="160" t="s">
        <v>163</v>
      </c>
      <c r="B12" s="162" t="s">
        <v>164</v>
      </c>
      <c r="C12" s="160" t="s">
        <v>61</v>
      </c>
      <c r="D12" s="160" t="s">
        <v>162</v>
      </c>
      <c r="E12" s="160" t="s">
        <v>165</v>
      </c>
      <c r="F12" s="160"/>
      <c r="G12" s="161">
        <f>G13</f>
        <v>1089.7</v>
      </c>
      <c r="H12" s="149"/>
    </row>
    <row r="13" spans="1:8" ht="93.75" x14ac:dyDescent="0.3">
      <c r="A13" s="160" t="s">
        <v>19</v>
      </c>
      <c r="B13" s="162" t="s">
        <v>166</v>
      </c>
      <c r="C13" s="160" t="s">
        <v>61</v>
      </c>
      <c r="D13" s="160" t="s">
        <v>162</v>
      </c>
      <c r="E13" s="160" t="s">
        <v>165</v>
      </c>
      <c r="F13" s="163" t="s">
        <v>167</v>
      </c>
      <c r="G13" s="312">
        <v>1089.7</v>
      </c>
      <c r="H13" s="149"/>
    </row>
    <row r="14" spans="1:8" ht="72.75" customHeight="1" x14ac:dyDescent="0.3">
      <c r="A14" s="160" t="s">
        <v>168</v>
      </c>
      <c r="B14" s="165" t="s">
        <v>169</v>
      </c>
      <c r="C14" s="163" t="s">
        <v>61</v>
      </c>
      <c r="D14" s="160" t="s">
        <v>162</v>
      </c>
      <c r="E14" s="160" t="s">
        <v>170</v>
      </c>
      <c r="F14" s="160"/>
      <c r="G14" s="161">
        <f>G15+G16+G17</f>
        <v>12793.499999999998</v>
      </c>
      <c r="H14" s="149"/>
    </row>
    <row r="15" spans="1:8" ht="90" customHeight="1" x14ac:dyDescent="0.3">
      <c r="A15" s="160" t="s">
        <v>171</v>
      </c>
      <c r="B15" s="162" t="s">
        <v>166</v>
      </c>
      <c r="C15" s="163" t="s">
        <v>61</v>
      </c>
      <c r="D15" s="163" t="s">
        <v>162</v>
      </c>
      <c r="E15" s="160" t="s">
        <v>170</v>
      </c>
      <c r="F15" s="160" t="s">
        <v>167</v>
      </c>
      <c r="G15" s="313">
        <v>10347.299999999999</v>
      </c>
      <c r="H15" s="149"/>
    </row>
    <row r="16" spans="1:8" ht="35.25" customHeight="1" x14ac:dyDescent="0.3">
      <c r="A16" s="160" t="s">
        <v>172</v>
      </c>
      <c r="B16" s="166" t="s">
        <v>173</v>
      </c>
      <c r="C16" s="163" t="s">
        <v>61</v>
      </c>
      <c r="D16" s="163" t="s">
        <v>162</v>
      </c>
      <c r="E16" s="160" t="s">
        <v>170</v>
      </c>
      <c r="F16" s="160" t="s">
        <v>174</v>
      </c>
      <c r="G16" s="161">
        <v>2384.8000000000002</v>
      </c>
      <c r="H16" s="149"/>
    </row>
    <row r="17" spans="1:8" ht="18.75" x14ac:dyDescent="0.3">
      <c r="A17" s="160" t="s">
        <v>175</v>
      </c>
      <c r="B17" s="167" t="s">
        <v>176</v>
      </c>
      <c r="C17" s="163" t="s">
        <v>61</v>
      </c>
      <c r="D17" s="160" t="s">
        <v>162</v>
      </c>
      <c r="E17" s="160" t="s">
        <v>170</v>
      </c>
      <c r="F17" s="160" t="s">
        <v>177</v>
      </c>
      <c r="G17" s="164">
        <v>61.4</v>
      </c>
      <c r="H17" s="149"/>
    </row>
    <row r="18" spans="1:8" ht="72" customHeight="1" x14ac:dyDescent="0.3">
      <c r="A18" s="160" t="s">
        <v>46</v>
      </c>
      <c r="B18" s="168" t="s">
        <v>178</v>
      </c>
      <c r="C18" s="163" t="s">
        <v>61</v>
      </c>
      <c r="D18" s="163" t="s">
        <v>162</v>
      </c>
      <c r="E18" s="163" t="s">
        <v>179</v>
      </c>
      <c r="F18" s="163"/>
      <c r="G18" s="164">
        <f>G19</f>
        <v>6.5</v>
      </c>
      <c r="H18" s="149"/>
    </row>
    <row r="19" spans="1:8" ht="37.5" x14ac:dyDescent="0.3">
      <c r="A19" s="160" t="s">
        <v>49</v>
      </c>
      <c r="B19" s="166" t="s">
        <v>173</v>
      </c>
      <c r="C19" s="163" t="s">
        <v>61</v>
      </c>
      <c r="D19" s="163" t="s">
        <v>162</v>
      </c>
      <c r="E19" s="163" t="s">
        <v>179</v>
      </c>
      <c r="F19" s="163" t="s">
        <v>174</v>
      </c>
      <c r="G19" s="164">
        <v>6.5</v>
      </c>
      <c r="H19" s="149"/>
    </row>
    <row r="20" spans="1:8" ht="70.5" customHeight="1" x14ac:dyDescent="0.3">
      <c r="A20" s="160" t="s">
        <v>180</v>
      </c>
      <c r="B20" s="169" t="s">
        <v>181</v>
      </c>
      <c r="C20" s="170" t="s">
        <v>61</v>
      </c>
      <c r="D20" s="163" t="s">
        <v>162</v>
      </c>
      <c r="E20" s="163" t="s">
        <v>182</v>
      </c>
      <c r="F20" s="163"/>
      <c r="G20" s="164">
        <f>G21+G22</f>
        <v>2558.2000000000003</v>
      </c>
      <c r="H20" s="149"/>
    </row>
    <row r="21" spans="1:8" ht="93.75" x14ac:dyDescent="0.3">
      <c r="A21" s="160" t="s">
        <v>183</v>
      </c>
      <c r="B21" s="169" t="s">
        <v>166</v>
      </c>
      <c r="C21" s="170" t="s">
        <v>61</v>
      </c>
      <c r="D21" s="163" t="s">
        <v>162</v>
      </c>
      <c r="E21" s="163" t="s">
        <v>182</v>
      </c>
      <c r="F21" s="163" t="s">
        <v>167</v>
      </c>
      <c r="G21" s="164">
        <v>2378.8000000000002</v>
      </c>
      <c r="H21" s="149"/>
    </row>
    <row r="22" spans="1:8" ht="35.25" customHeight="1" x14ac:dyDescent="0.3">
      <c r="A22" s="160" t="s">
        <v>184</v>
      </c>
      <c r="B22" s="168" t="s">
        <v>173</v>
      </c>
      <c r="C22" s="170" t="s">
        <v>61</v>
      </c>
      <c r="D22" s="163" t="s">
        <v>162</v>
      </c>
      <c r="E22" s="163" t="s">
        <v>182</v>
      </c>
      <c r="F22" s="163" t="s">
        <v>174</v>
      </c>
      <c r="G22" s="164">
        <v>179.4</v>
      </c>
      <c r="H22" s="149"/>
    </row>
    <row r="23" spans="1:8" s="72" customFormat="1" ht="18.75" x14ac:dyDescent="0.3">
      <c r="A23" s="171" t="s">
        <v>168</v>
      </c>
      <c r="B23" s="172" t="s">
        <v>185</v>
      </c>
      <c r="C23" s="173" t="s">
        <v>61</v>
      </c>
      <c r="D23" s="173" t="s">
        <v>186</v>
      </c>
      <c r="E23" s="173"/>
      <c r="F23" s="173"/>
      <c r="G23" s="174">
        <f>G24</f>
        <v>50</v>
      </c>
      <c r="H23" s="175"/>
    </row>
    <row r="24" spans="1:8" ht="18.75" x14ac:dyDescent="0.3">
      <c r="A24" s="160" t="s">
        <v>171</v>
      </c>
      <c r="B24" s="169" t="s">
        <v>187</v>
      </c>
      <c r="C24" s="170" t="s">
        <v>61</v>
      </c>
      <c r="D24" s="163" t="s">
        <v>186</v>
      </c>
      <c r="E24" s="163" t="s">
        <v>188</v>
      </c>
      <c r="F24" s="163"/>
      <c r="G24" s="164">
        <f>G25</f>
        <v>50</v>
      </c>
      <c r="H24" s="149"/>
    </row>
    <row r="25" spans="1:8" ht="18.75" x14ac:dyDescent="0.3">
      <c r="A25" s="160" t="s">
        <v>189</v>
      </c>
      <c r="B25" s="169" t="s">
        <v>176</v>
      </c>
      <c r="C25" s="170" t="s">
        <v>61</v>
      </c>
      <c r="D25" s="163" t="s">
        <v>186</v>
      </c>
      <c r="E25" s="163" t="s">
        <v>188</v>
      </c>
      <c r="F25" s="163" t="s">
        <v>177</v>
      </c>
      <c r="G25" s="164">
        <v>50</v>
      </c>
      <c r="H25" s="149"/>
    </row>
    <row r="26" spans="1:8" ht="40.5" x14ac:dyDescent="0.3">
      <c r="A26" s="155" t="s">
        <v>52</v>
      </c>
      <c r="B26" s="176" t="s">
        <v>190</v>
      </c>
      <c r="C26" s="177" t="s">
        <v>61</v>
      </c>
      <c r="D26" s="155" t="s">
        <v>191</v>
      </c>
      <c r="E26" s="155"/>
      <c r="F26" s="155"/>
      <c r="G26" s="156">
        <f>G27+G29+G34+G32</f>
        <v>9485.6</v>
      </c>
      <c r="H26" s="149"/>
    </row>
    <row r="27" spans="1:8" ht="35.25" customHeight="1" x14ac:dyDescent="0.3">
      <c r="A27" s="160" t="s">
        <v>192</v>
      </c>
      <c r="B27" s="178" t="s">
        <v>193</v>
      </c>
      <c r="C27" s="179" t="s">
        <v>61</v>
      </c>
      <c r="D27" s="160" t="s">
        <v>191</v>
      </c>
      <c r="E27" s="163" t="s">
        <v>194</v>
      </c>
      <c r="F27" s="160"/>
      <c r="G27" s="180">
        <f>G28</f>
        <v>198</v>
      </c>
      <c r="H27" s="149"/>
    </row>
    <row r="28" spans="1:8" ht="37.5" x14ac:dyDescent="0.3">
      <c r="A28" s="163" t="s">
        <v>195</v>
      </c>
      <c r="B28" s="168" t="s">
        <v>173</v>
      </c>
      <c r="C28" s="170" t="s">
        <v>61</v>
      </c>
      <c r="D28" s="163" t="s">
        <v>191</v>
      </c>
      <c r="E28" s="163" t="s">
        <v>194</v>
      </c>
      <c r="F28" s="163" t="s">
        <v>174</v>
      </c>
      <c r="G28" s="164">
        <v>198</v>
      </c>
      <c r="H28" s="149"/>
    </row>
    <row r="29" spans="1:8" ht="71.25" customHeight="1" x14ac:dyDescent="0.3">
      <c r="A29" s="163" t="s">
        <v>196</v>
      </c>
      <c r="B29" s="181" t="s">
        <v>197</v>
      </c>
      <c r="C29" s="170" t="s">
        <v>61</v>
      </c>
      <c r="D29" s="163" t="s">
        <v>191</v>
      </c>
      <c r="E29" s="163" t="s">
        <v>198</v>
      </c>
      <c r="F29" s="163"/>
      <c r="G29" s="164">
        <f>G30+G31</f>
        <v>9237.6</v>
      </c>
      <c r="H29" s="149"/>
    </row>
    <row r="30" spans="1:8" ht="90.75" customHeight="1" x14ac:dyDescent="0.3">
      <c r="A30" s="163" t="s">
        <v>199</v>
      </c>
      <c r="B30" s="181" t="s">
        <v>166</v>
      </c>
      <c r="C30" s="170" t="s">
        <v>61</v>
      </c>
      <c r="D30" s="163" t="s">
        <v>191</v>
      </c>
      <c r="E30" s="182" t="s">
        <v>198</v>
      </c>
      <c r="F30" s="163" t="s">
        <v>167</v>
      </c>
      <c r="G30" s="164">
        <v>9059.6</v>
      </c>
      <c r="H30" s="149"/>
    </row>
    <row r="31" spans="1:8" ht="35.25" customHeight="1" x14ac:dyDescent="0.3">
      <c r="A31" s="163" t="s">
        <v>200</v>
      </c>
      <c r="B31" s="168" t="s">
        <v>173</v>
      </c>
      <c r="C31" s="170" t="s">
        <v>61</v>
      </c>
      <c r="D31" s="163" t="s">
        <v>191</v>
      </c>
      <c r="E31" s="163" t="s">
        <v>198</v>
      </c>
      <c r="F31" s="163" t="s">
        <v>174</v>
      </c>
      <c r="G31" s="164">
        <v>178</v>
      </c>
      <c r="H31" s="149"/>
    </row>
    <row r="32" spans="1:8" ht="52.5" customHeight="1" x14ac:dyDescent="0.3">
      <c r="A32" s="163" t="s">
        <v>201</v>
      </c>
      <c r="B32" s="183" t="s">
        <v>202</v>
      </c>
      <c r="C32" s="163" t="s">
        <v>61</v>
      </c>
      <c r="D32" s="163" t="s">
        <v>191</v>
      </c>
      <c r="E32" s="182" t="s">
        <v>203</v>
      </c>
      <c r="F32" s="163"/>
      <c r="G32" s="164">
        <f>G33</f>
        <v>20</v>
      </c>
      <c r="H32" s="149"/>
    </row>
    <row r="33" spans="1:8" ht="37.5" x14ac:dyDescent="0.3">
      <c r="A33" s="163" t="s">
        <v>204</v>
      </c>
      <c r="B33" s="184" t="s">
        <v>173</v>
      </c>
      <c r="C33" s="163" t="s">
        <v>61</v>
      </c>
      <c r="D33" s="163" t="s">
        <v>191</v>
      </c>
      <c r="E33" s="182" t="s">
        <v>203</v>
      </c>
      <c r="F33" s="163" t="s">
        <v>174</v>
      </c>
      <c r="G33" s="164">
        <v>20</v>
      </c>
      <c r="H33" s="149"/>
    </row>
    <row r="34" spans="1:8" ht="147" customHeight="1" x14ac:dyDescent="0.3">
      <c r="A34" s="163" t="s">
        <v>205</v>
      </c>
      <c r="B34" s="50" t="s">
        <v>206</v>
      </c>
      <c r="C34" s="170" t="s">
        <v>61</v>
      </c>
      <c r="D34" s="163" t="s">
        <v>191</v>
      </c>
      <c r="E34" s="163" t="s">
        <v>207</v>
      </c>
      <c r="F34" s="163"/>
      <c r="G34" s="164">
        <f>G35</f>
        <v>30</v>
      </c>
      <c r="H34" s="149"/>
    </row>
    <row r="35" spans="1:8" ht="37.5" x14ac:dyDescent="0.3">
      <c r="A35" s="163" t="s">
        <v>208</v>
      </c>
      <c r="B35" s="168" t="s">
        <v>173</v>
      </c>
      <c r="C35" s="170" t="s">
        <v>61</v>
      </c>
      <c r="D35" s="163" t="s">
        <v>191</v>
      </c>
      <c r="E35" s="163" t="s">
        <v>207</v>
      </c>
      <c r="F35" s="163" t="s">
        <v>174</v>
      </c>
      <c r="G35" s="164">
        <v>30</v>
      </c>
      <c r="H35" s="149"/>
    </row>
    <row r="36" spans="1:8" ht="37.5" customHeight="1" x14ac:dyDescent="0.3">
      <c r="A36" s="157" t="s">
        <v>53</v>
      </c>
      <c r="B36" s="185" t="s">
        <v>209</v>
      </c>
      <c r="C36" s="186" t="s">
        <v>61</v>
      </c>
      <c r="D36" s="157" t="s">
        <v>210</v>
      </c>
      <c r="E36" s="157"/>
      <c r="F36" s="157"/>
      <c r="G36" s="159">
        <f>G37</f>
        <v>21</v>
      </c>
      <c r="H36" s="149"/>
    </row>
    <row r="37" spans="1:8" ht="56.25" x14ac:dyDescent="0.3">
      <c r="A37" s="163" t="s">
        <v>55</v>
      </c>
      <c r="B37" s="50" t="s">
        <v>211</v>
      </c>
      <c r="C37" s="170" t="s">
        <v>61</v>
      </c>
      <c r="D37" s="163" t="s">
        <v>212</v>
      </c>
      <c r="E37" s="163"/>
      <c r="F37" s="163"/>
      <c r="G37" s="164">
        <f>G38</f>
        <v>21</v>
      </c>
      <c r="H37" s="149"/>
    </row>
    <row r="38" spans="1:8" ht="147" customHeight="1" x14ac:dyDescent="0.3">
      <c r="A38" s="163" t="s">
        <v>58</v>
      </c>
      <c r="B38" s="187" t="s">
        <v>213</v>
      </c>
      <c r="C38" s="170" t="s">
        <v>61</v>
      </c>
      <c r="D38" s="163" t="s">
        <v>212</v>
      </c>
      <c r="E38" s="163" t="s">
        <v>214</v>
      </c>
      <c r="F38" s="163"/>
      <c r="G38" s="164">
        <f>G39</f>
        <v>21</v>
      </c>
      <c r="H38" s="149"/>
    </row>
    <row r="39" spans="1:8" ht="37.5" x14ac:dyDescent="0.3">
      <c r="A39" s="163" t="s">
        <v>215</v>
      </c>
      <c r="B39" s="168" t="s">
        <v>173</v>
      </c>
      <c r="C39" s="170" t="s">
        <v>61</v>
      </c>
      <c r="D39" s="163" t="s">
        <v>212</v>
      </c>
      <c r="E39" s="163" t="s">
        <v>214</v>
      </c>
      <c r="F39" s="163" t="s">
        <v>174</v>
      </c>
      <c r="G39" s="164">
        <v>21</v>
      </c>
      <c r="H39" s="149"/>
    </row>
    <row r="40" spans="1:8" ht="20.25" x14ac:dyDescent="0.3">
      <c r="A40" s="157" t="s">
        <v>74</v>
      </c>
      <c r="B40" s="185" t="s">
        <v>216</v>
      </c>
      <c r="C40" s="186" t="s">
        <v>61</v>
      </c>
      <c r="D40" s="157" t="s">
        <v>217</v>
      </c>
      <c r="E40" s="157"/>
      <c r="F40" s="157"/>
      <c r="G40" s="159">
        <f>G41+G44</f>
        <v>285.5</v>
      </c>
      <c r="H40" s="149"/>
    </row>
    <row r="41" spans="1:8" ht="18.75" x14ac:dyDescent="0.3">
      <c r="A41" s="163" t="s">
        <v>77</v>
      </c>
      <c r="B41" s="188" t="s">
        <v>218</v>
      </c>
      <c r="C41" s="170" t="s">
        <v>61</v>
      </c>
      <c r="D41" s="163" t="s">
        <v>219</v>
      </c>
      <c r="E41" s="182"/>
      <c r="F41" s="163"/>
      <c r="G41" s="164">
        <f>G42</f>
        <v>265.5</v>
      </c>
      <c r="H41" s="149"/>
    </row>
    <row r="42" spans="1:8" ht="52.5" customHeight="1" x14ac:dyDescent="0.3">
      <c r="A42" s="163" t="s">
        <v>220</v>
      </c>
      <c r="B42" s="50" t="s">
        <v>221</v>
      </c>
      <c r="C42" s="170" t="s">
        <v>61</v>
      </c>
      <c r="D42" s="163" t="s">
        <v>219</v>
      </c>
      <c r="E42" s="163" t="s">
        <v>222</v>
      </c>
      <c r="F42" s="163"/>
      <c r="G42" s="164">
        <f>G43</f>
        <v>265.5</v>
      </c>
      <c r="H42" s="149"/>
    </row>
    <row r="43" spans="1:8" ht="37.5" x14ac:dyDescent="0.3">
      <c r="A43" s="163" t="s">
        <v>223</v>
      </c>
      <c r="B43" s="168" t="s">
        <v>173</v>
      </c>
      <c r="C43" s="170" t="s">
        <v>61</v>
      </c>
      <c r="D43" s="163" t="s">
        <v>219</v>
      </c>
      <c r="E43" s="163" t="s">
        <v>222</v>
      </c>
      <c r="F43" s="163" t="s">
        <v>174</v>
      </c>
      <c r="G43" s="164">
        <v>265.5</v>
      </c>
      <c r="H43" s="149"/>
    </row>
    <row r="44" spans="1:8" ht="18.75" x14ac:dyDescent="0.3">
      <c r="A44" s="163" t="s">
        <v>80</v>
      </c>
      <c r="B44" s="189" t="s">
        <v>224</v>
      </c>
      <c r="C44" s="170" t="s">
        <v>61</v>
      </c>
      <c r="D44" s="163" t="s">
        <v>225</v>
      </c>
      <c r="E44" s="182"/>
      <c r="F44" s="163"/>
      <c r="G44" s="164">
        <f>G45</f>
        <v>20</v>
      </c>
      <c r="H44" s="149"/>
    </row>
    <row r="45" spans="1:8" ht="75" x14ac:dyDescent="0.3">
      <c r="A45" s="163" t="s">
        <v>83</v>
      </c>
      <c r="B45" s="190" t="s">
        <v>226</v>
      </c>
      <c r="C45" s="170" t="s">
        <v>61</v>
      </c>
      <c r="D45" s="163" t="s">
        <v>225</v>
      </c>
      <c r="E45" s="182" t="s">
        <v>227</v>
      </c>
      <c r="F45" s="163"/>
      <c r="G45" s="164">
        <f>G46</f>
        <v>20</v>
      </c>
    </row>
    <row r="46" spans="1:8" ht="37.5" x14ac:dyDescent="0.3">
      <c r="A46" s="163" t="s">
        <v>228</v>
      </c>
      <c r="B46" s="168" t="s">
        <v>173</v>
      </c>
      <c r="C46" s="170" t="s">
        <v>61</v>
      </c>
      <c r="D46" s="163" t="s">
        <v>225</v>
      </c>
      <c r="E46" s="182" t="s">
        <v>227</v>
      </c>
      <c r="F46" s="163" t="s">
        <v>174</v>
      </c>
      <c r="G46" s="164">
        <v>20</v>
      </c>
    </row>
    <row r="47" spans="1:8" ht="40.5" x14ac:dyDescent="0.3">
      <c r="A47" s="157" t="s">
        <v>101</v>
      </c>
      <c r="B47" s="185" t="s">
        <v>229</v>
      </c>
      <c r="C47" s="186" t="s">
        <v>61</v>
      </c>
      <c r="D47" s="157" t="s">
        <v>230</v>
      </c>
      <c r="E47" s="191"/>
      <c r="F47" s="157"/>
      <c r="G47" s="159">
        <f>G48</f>
        <v>28916.2</v>
      </c>
      <c r="H47" s="149"/>
    </row>
    <row r="48" spans="1:8" ht="18.75" x14ac:dyDescent="0.3">
      <c r="A48" s="163" t="s">
        <v>104</v>
      </c>
      <c r="B48" s="169" t="s">
        <v>231</v>
      </c>
      <c r="C48" s="170" t="s">
        <v>61</v>
      </c>
      <c r="D48" s="163" t="s">
        <v>232</v>
      </c>
      <c r="E48" s="182"/>
      <c r="F48" s="163"/>
      <c r="G48" s="164">
        <f>G50+G52+G54+G56+G58+G60+G62+G64</f>
        <v>28916.2</v>
      </c>
      <c r="H48" s="149"/>
    </row>
    <row r="49" spans="1:8" ht="37.5" x14ac:dyDescent="0.3">
      <c r="A49" s="163" t="s">
        <v>107</v>
      </c>
      <c r="B49" s="169" t="s">
        <v>233</v>
      </c>
      <c r="C49" s="170" t="s">
        <v>61</v>
      </c>
      <c r="D49" s="163" t="s">
        <v>232</v>
      </c>
      <c r="E49" s="182"/>
      <c r="F49" s="163"/>
      <c r="G49" s="164">
        <f>G48</f>
        <v>28916.2</v>
      </c>
      <c r="H49" s="149"/>
    </row>
    <row r="50" spans="1:8" ht="37.5" x14ac:dyDescent="0.3">
      <c r="A50" s="173" t="s">
        <v>107</v>
      </c>
      <c r="B50" s="194" t="s">
        <v>234</v>
      </c>
      <c r="C50" s="192" t="s">
        <v>61</v>
      </c>
      <c r="D50" s="173" t="s">
        <v>232</v>
      </c>
      <c r="E50" s="193" t="s">
        <v>235</v>
      </c>
      <c r="F50" s="173"/>
      <c r="G50" s="174">
        <f>G51</f>
        <v>125.4</v>
      </c>
      <c r="H50" s="149"/>
    </row>
    <row r="51" spans="1:8" ht="33.75" customHeight="1" x14ac:dyDescent="0.3">
      <c r="A51" s="163" t="s">
        <v>494</v>
      </c>
      <c r="B51" s="168" t="s">
        <v>173</v>
      </c>
      <c r="C51" s="163" t="s">
        <v>61</v>
      </c>
      <c r="D51" s="163" t="s">
        <v>232</v>
      </c>
      <c r="E51" s="182" t="s">
        <v>235</v>
      </c>
      <c r="F51" s="163" t="s">
        <v>174</v>
      </c>
      <c r="G51" s="164">
        <v>125.4</v>
      </c>
      <c r="H51" s="149"/>
    </row>
    <row r="52" spans="1:8" ht="93.75" x14ac:dyDescent="0.3">
      <c r="A52" s="173" t="s">
        <v>236</v>
      </c>
      <c r="B52" s="194" t="s">
        <v>237</v>
      </c>
      <c r="C52" s="173" t="s">
        <v>61</v>
      </c>
      <c r="D52" s="173" t="s">
        <v>232</v>
      </c>
      <c r="E52" s="193" t="s">
        <v>490</v>
      </c>
      <c r="F52" s="173"/>
      <c r="G52" s="174">
        <f>G53</f>
        <v>81.7</v>
      </c>
      <c r="H52" s="149"/>
    </row>
    <row r="53" spans="1:8" ht="37.5" x14ac:dyDescent="0.3">
      <c r="A53" s="163" t="s">
        <v>495</v>
      </c>
      <c r="B53" s="168" t="s">
        <v>173</v>
      </c>
      <c r="C53" s="163" t="s">
        <v>61</v>
      </c>
      <c r="D53" s="163" t="s">
        <v>232</v>
      </c>
      <c r="E53" s="182" t="s">
        <v>490</v>
      </c>
      <c r="F53" s="163" t="s">
        <v>174</v>
      </c>
      <c r="G53" s="164">
        <v>81.7</v>
      </c>
      <c r="H53" s="149"/>
    </row>
    <row r="54" spans="1:8" s="72" customFormat="1" ht="34.5" customHeight="1" x14ac:dyDescent="0.3">
      <c r="A54" s="173" t="s">
        <v>496</v>
      </c>
      <c r="B54" s="194" t="s">
        <v>239</v>
      </c>
      <c r="C54" s="192" t="s">
        <v>61</v>
      </c>
      <c r="D54" s="173" t="s">
        <v>232</v>
      </c>
      <c r="E54" s="193" t="s">
        <v>240</v>
      </c>
      <c r="F54" s="173"/>
      <c r="G54" s="174">
        <f>G55</f>
        <v>750</v>
      </c>
      <c r="H54" s="175"/>
    </row>
    <row r="55" spans="1:8" ht="33.75" customHeight="1" x14ac:dyDescent="0.3">
      <c r="A55" s="163" t="s">
        <v>238</v>
      </c>
      <c r="B55" s="168" t="s">
        <v>173</v>
      </c>
      <c r="C55" s="170" t="s">
        <v>61</v>
      </c>
      <c r="D55" s="163" t="s">
        <v>232</v>
      </c>
      <c r="E55" s="182" t="s">
        <v>240</v>
      </c>
      <c r="F55" s="163" t="s">
        <v>174</v>
      </c>
      <c r="G55" s="312">
        <f>500+250</f>
        <v>750</v>
      </c>
      <c r="H55" s="149"/>
    </row>
    <row r="56" spans="1:8" s="72" customFormat="1" ht="37.5" x14ac:dyDescent="0.3">
      <c r="A56" s="173" t="s">
        <v>243</v>
      </c>
      <c r="B56" s="194" t="s">
        <v>241</v>
      </c>
      <c r="C56" s="192" t="s">
        <v>61</v>
      </c>
      <c r="D56" s="173" t="s">
        <v>232</v>
      </c>
      <c r="E56" s="193" t="s">
        <v>491</v>
      </c>
      <c r="F56" s="173"/>
      <c r="G56" s="174">
        <f>G57</f>
        <v>42.5</v>
      </c>
      <c r="H56" s="175"/>
    </row>
    <row r="57" spans="1:8" ht="37.5" x14ac:dyDescent="0.3">
      <c r="A57" s="163" t="s">
        <v>497</v>
      </c>
      <c r="B57" s="168" t="s">
        <v>173</v>
      </c>
      <c r="C57" s="170" t="s">
        <v>61</v>
      </c>
      <c r="D57" s="163" t="s">
        <v>232</v>
      </c>
      <c r="E57" s="182" t="s">
        <v>491</v>
      </c>
      <c r="F57" s="163" t="s">
        <v>174</v>
      </c>
      <c r="G57" s="164">
        <v>42.5</v>
      </c>
      <c r="H57" s="149"/>
    </row>
    <row r="58" spans="1:8" s="72" customFormat="1" ht="70.5" customHeight="1" x14ac:dyDescent="0.3">
      <c r="A58" s="173" t="s">
        <v>245</v>
      </c>
      <c r="B58" s="194" t="s">
        <v>242</v>
      </c>
      <c r="C58" s="192" t="s">
        <v>61</v>
      </c>
      <c r="D58" s="173" t="s">
        <v>232</v>
      </c>
      <c r="E58" s="193" t="s">
        <v>492</v>
      </c>
      <c r="F58" s="173"/>
      <c r="G58" s="174">
        <f>G59</f>
        <v>10.8</v>
      </c>
      <c r="H58" s="175"/>
    </row>
    <row r="59" spans="1:8" ht="37.5" x14ac:dyDescent="0.3">
      <c r="A59" s="163" t="s">
        <v>498</v>
      </c>
      <c r="B59" s="168" t="s">
        <v>173</v>
      </c>
      <c r="C59" s="170" t="s">
        <v>61</v>
      </c>
      <c r="D59" s="163" t="s">
        <v>232</v>
      </c>
      <c r="E59" s="182" t="s">
        <v>492</v>
      </c>
      <c r="F59" s="163" t="s">
        <v>174</v>
      </c>
      <c r="G59" s="164">
        <v>10.8</v>
      </c>
      <c r="H59" s="149"/>
    </row>
    <row r="60" spans="1:8" ht="52.5" customHeight="1" x14ac:dyDescent="0.3">
      <c r="A60" s="173" t="s">
        <v>247</v>
      </c>
      <c r="B60" s="194" t="s">
        <v>244</v>
      </c>
      <c r="C60" s="192" t="s">
        <v>61</v>
      </c>
      <c r="D60" s="173" t="s">
        <v>232</v>
      </c>
      <c r="E60" s="193" t="s">
        <v>493</v>
      </c>
      <c r="F60" s="173"/>
      <c r="G60" s="174">
        <f>G61</f>
        <v>3255.9</v>
      </c>
      <c r="H60" s="149"/>
    </row>
    <row r="61" spans="1:8" ht="37.5" x14ac:dyDescent="0.3">
      <c r="A61" s="163" t="s">
        <v>499</v>
      </c>
      <c r="B61" s="168" t="s">
        <v>173</v>
      </c>
      <c r="C61" s="170" t="s">
        <v>61</v>
      </c>
      <c r="D61" s="163" t="s">
        <v>232</v>
      </c>
      <c r="E61" s="182" t="s">
        <v>493</v>
      </c>
      <c r="F61" s="163" t="s">
        <v>174</v>
      </c>
      <c r="G61" s="312">
        <f>2340.3+423.6+492</f>
        <v>3255.9</v>
      </c>
      <c r="H61" s="149"/>
    </row>
    <row r="62" spans="1:8" ht="51.75" customHeight="1" x14ac:dyDescent="0.3">
      <c r="A62" s="173" t="s">
        <v>249</v>
      </c>
      <c r="B62" s="172" t="s">
        <v>246</v>
      </c>
      <c r="C62" s="192" t="s">
        <v>61</v>
      </c>
      <c r="D62" s="173" t="s">
        <v>232</v>
      </c>
      <c r="E62" s="193" t="s">
        <v>248</v>
      </c>
      <c r="F62" s="173"/>
      <c r="G62" s="174">
        <f>G63</f>
        <v>4649.8999999999996</v>
      </c>
      <c r="H62" s="149"/>
    </row>
    <row r="63" spans="1:8" ht="37.5" x14ac:dyDescent="0.3">
      <c r="A63" s="163" t="s">
        <v>500</v>
      </c>
      <c r="B63" s="168" t="s">
        <v>173</v>
      </c>
      <c r="C63" s="170" t="s">
        <v>61</v>
      </c>
      <c r="D63" s="163" t="s">
        <v>232</v>
      </c>
      <c r="E63" s="182" t="s">
        <v>248</v>
      </c>
      <c r="F63" s="163" t="s">
        <v>174</v>
      </c>
      <c r="G63" s="312">
        <f>3332.4+609.5+708</f>
        <v>4649.8999999999996</v>
      </c>
      <c r="H63" s="149"/>
    </row>
    <row r="64" spans="1:8" s="72" customFormat="1" ht="52.5" customHeight="1" x14ac:dyDescent="0.3">
      <c r="A64" s="173" t="s">
        <v>501</v>
      </c>
      <c r="B64" s="194" t="s">
        <v>505</v>
      </c>
      <c r="C64" s="192" t="s">
        <v>61</v>
      </c>
      <c r="D64" s="173" t="s">
        <v>232</v>
      </c>
      <c r="E64" s="193" t="s">
        <v>506</v>
      </c>
      <c r="F64" s="173"/>
      <c r="G64" s="174">
        <f>G65</f>
        <v>20000</v>
      </c>
      <c r="H64" s="175"/>
    </row>
    <row r="65" spans="1:8" ht="37.5" x14ac:dyDescent="0.3">
      <c r="A65" s="163" t="s">
        <v>502</v>
      </c>
      <c r="B65" s="168" t="s">
        <v>173</v>
      </c>
      <c r="C65" s="170" t="s">
        <v>61</v>
      </c>
      <c r="D65" s="163" t="s">
        <v>232</v>
      </c>
      <c r="E65" s="182" t="s">
        <v>506</v>
      </c>
      <c r="F65" s="163" t="s">
        <v>174</v>
      </c>
      <c r="G65" s="164">
        <v>20000</v>
      </c>
      <c r="H65" s="149"/>
    </row>
    <row r="66" spans="1:8" ht="20.25" x14ac:dyDescent="0.3">
      <c r="A66" s="157" t="s">
        <v>250</v>
      </c>
      <c r="B66" s="195" t="s">
        <v>251</v>
      </c>
      <c r="C66" s="186" t="s">
        <v>61</v>
      </c>
      <c r="D66" s="157" t="s">
        <v>252</v>
      </c>
      <c r="E66" s="191"/>
      <c r="F66" s="157"/>
      <c r="G66" s="159">
        <f>G68</f>
        <v>20</v>
      </c>
      <c r="H66" s="149"/>
    </row>
    <row r="67" spans="1:8" ht="18.75" customHeight="1" x14ac:dyDescent="0.3">
      <c r="A67" s="163" t="s">
        <v>253</v>
      </c>
      <c r="B67" s="168" t="s">
        <v>254</v>
      </c>
      <c r="C67" s="170" t="s">
        <v>61</v>
      </c>
      <c r="D67" s="163" t="s">
        <v>255</v>
      </c>
      <c r="E67" s="182"/>
      <c r="F67" s="163"/>
      <c r="G67" s="164">
        <f>G68</f>
        <v>20</v>
      </c>
      <c r="H67" s="149"/>
    </row>
    <row r="68" spans="1:8" ht="75" x14ac:dyDescent="0.3">
      <c r="A68" s="163" t="s">
        <v>256</v>
      </c>
      <c r="B68" s="168" t="s">
        <v>257</v>
      </c>
      <c r="C68" s="170" t="s">
        <v>61</v>
      </c>
      <c r="D68" s="163" t="s">
        <v>255</v>
      </c>
      <c r="E68" s="182" t="s">
        <v>258</v>
      </c>
      <c r="F68" s="163"/>
      <c r="G68" s="164">
        <f>G69</f>
        <v>20</v>
      </c>
      <c r="H68" s="149"/>
    </row>
    <row r="69" spans="1:8" ht="37.5" x14ac:dyDescent="0.3">
      <c r="A69" s="163" t="s">
        <v>259</v>
      </c>
      <c r="B69" s="168" t="s">
        <v>173</v>
      </c>
      <c r="C69" s="170" t="s">
        <v>61</v>
      </c>
      <c r="D69" s="163" t="s">
        <v>255</v>
      </c>
      <c r="E69" s="182" t="s">
        <v>258</v>
      </c>
      <c r="F69" s="163" t="s">
        <v>174</v>
      </c>
      <c r="G69" s="164">
        <v>20</v>
      </c>
      <c r="H69" s="149"/>
    </row>
    <row r="70" spans="1:8" ht="20.25" x14ac:dyDescent="0.3">
      <c r="A70" s="157" t="s">
        <v>260</v>
      </c>
      <c r="B70" s="195" t="s">
        <v>261</v>
      </c>
      <c r="C70" s="186" t="s">
        <v>61</v>
      </c>
      <c r="D70" s="157" t="s">
        <v>262</v>
      </c>
      <c r="E70" s="157"/>
      <c r="F70" s="157"/>
      <c r="G70" s="159">
        <f>G71+G75+G78</f>
        <v>395.5</v>
      </c>
      <c r="H70" s="149"/>
    </row>
    <row r="71" spans="1:8" ht="37.5" x14ac:dyDescent="0.3">
      <c r="A71" s="173" t="s">
        <v>263</v>
      </c>
      <c r="B71" s="196" t="s">
        <v>264</v>
      </c>
      <c r="C71" s="192" t="s">
        <v>61</v>
      </c>
      <c r="D71" s="173" t="s">
        <v>265</v>
      </c>
      <c r="E71" s="173"/>
      <c r="F71" s="173"/>
      <c r="G71" s="174">
        <f>G72</f>
        <v>140</v>
      </c>
      <c r="H71" s="149"/>
    </row>
    <row r="72" spans="1:8" ht="18.75" x14ac:dyDescent="0.3">
      <c r="A72" s="163" t="s">
        <v>266</v>
      </c>
      <c r="B72" s="168" t="s">
        <v>267</v>
      </c>
      <c r="C72" s="170" t="s">
        <v>61</v>
      </c>
      <c r="D72" s="163" t="s">
        <v>265</v>
      </c>
      <c r="E72" s="163" t="s">
        <v>268</v>
      </c>
      <c r="F72" s="163"/>
      <c r="G72" s="164">
        <f>G73</f>
        <v>140</v>
      </c>
      <c r="H72" s="149"/>
    </row>
    <row r="73" spans="1:8" ht="91.5" customHeight="1" x14ac:dyDescent="0.3">
      <c r="A73" s="163" t="s">
        <v>269</v>
      </c>
      <c r="B73" s="168" t="s">
        <v>270</v>
      </c>
      <c r="C73" s="170" t="s">
        <v>61</v>
      </c>
      <c r="D73" s="163" t="s">
        <v>265</v>
      </c>
      <c r="E73" s="163" t="s">
        <v>268</v>
      </c>
      <c r="F73" s="163"/>
      <c r="G73" s="164">
        <f>G74</f>
        <v>140</v>
      </c>
      <c r="H73" s="149"/>
    </row>
    <row r="74" spans="1:8" ht="37.5" x14ac:dyDescent="0.3">
      <c r="A74" s="163" t="s">
        <v>271</v>
      </c>
      <c r="B74" s="168" t="s">
        <v>173</v>
      </c>
      <c r="C74" s="170" t="s">
        <v>61</v>
      </c>
      <c r="D74" s="163" t="s">
        <v>265</v>
      </c>
      <c r="E74" s="163" t="s">
        <v>268</v>
      </c>
      <c r="F74" s="163" t="s">
        <v>174</v>
      </c>
      <c r="G74" s="164">
        <v>140</v>
      </c>
      <c r="H74" s="149"/>
    </row>
    <row r="75" spans="1:8" ht="18.75" x14ac:dyDescent="0.3">
      <c r="A75" s="173" t="s">
        <v>272</v>
      </c>
      <c r="B75" s="194" t="s">
        <v>489</v>
      </c>
      <c r="C75" s="192" t="s">
        <v>61</v>
      </c>
      <c r="D75" s="173" t="s">
        <v>273</v>
      </c>
      <c r="E75" s="193"/>
      <c r="F75" s="173"/>
      <c r="G75" s="174">
        <f>G76</f>
        <v>125.5</v>
      </c>
      <c r="H75" s="149"/>
    </row>
    <row r="76" spans="1:8" ht="93.75" x14ac:dyDescent="0.3">
      <c r="A76" s="163" t="s">
        <v>274</v>
      </c>
      <c r="B76" s="168" t="s">
        <v>275</v>
      </c>
      <c r="C76" s="170" t="s">
        <v>61</v>
      </c>
      <c r="D76" s="163" t="s">
        <v>273</v>
      </c>
      <c r="E76" s="163" t="s">
        <v>276</v>
      </c>
      <c r="F76" s="163"/>
      <c r="G76" s="164">
        <f>G77</f>
        <v>125.5</v>
      </c>
      <c r="H76" s="149"/>
    </row>
    <row r="77" spans="1:8" ht="37.5" x14ac:dyDescent="0.3">
      <c r="A77" s="163" t="s">
        <v>277</v>
      </c>
      <c r="B77" s="168" t="s">
        <v>173</v>
      </c>
      <c r="C77" s="170" t="s">
        <v>61</v>
      </c>
      <c r="D77" s="163" t="s">
        <v>273</v>
      </c>
      <c r="E77" s="163" t="s">
        <v>276</v>
      </c>
      <c r="F77" s="163" t="s">
        <v>174</v>
      </c>
      <c r="G77" s="164">
        <v>125.5</v>
      </c>
      <c r="H77" s="149"/>
    </row>
    <row r="78" spans="1:8" ht="20.25" customHeight="1" x14ac:dyDescent="0.3">
      <c r="A78" s="173" t="s">
        <v>278</v>
      </c>
      <c r="B78" s="194" t="s">
        <v>279</v>
      </c>
      <c r="C78" s="192" t="s">
        <v>61</v>
      </c>
      <c r="D78" s="173" t="s">
        <v>280</v>
      </c>
      <c r="E78" s="173"/>
      <c r="F78" s="173"/>
      <c r="G78" s="174">
        <f>G79+G81+G83</f>
        <v>130</v>
      </c>
      <c r="H78" s="149"/>
    </row>
    <row r="79" spans="1:8" ht="74.25" customHeight="1" x14ac:dyDescent="0.3">
      <c r="A79" s="163" t="s">
        <v>281</v>
      </c>
      <c r="B79" s="168" t="s">
        <v>282</v>
      </c>
      <c r="C79" s="170" t="s">
        <v>61</v>
      </c>
      <c r="D79" s="170" t="s">
        <v>280</v>
      </c>
      <c r="E79" s="163" t="s">
        <v>283</v>
      </c>
      <c r="F79" s="163"/>
      <c r="G79" s="164">
        <f>G80</f>
        <v>20</v>
      </c>
      <c r="H79" s="149"/>
    </row>
    <row r="80" spans="1:8" ht="37.5" x14ac:dyDescent="0.3">
      <c r="A80" s="163" t="s">
        <v>284</v>
      </c>
      <c r="B80" s="168" t="s">
        <v>173</v>
      </c>
      <c r="C80" s="170" t="s">
        <v>61</v>
      </c>
      <c r="D80" s="170" t="s">
        <v>280</v>
      </c>
      <c r="E80" s="163" t="s">
        <v>283</v>
      </c>
      <c r="F80" s="163" t="s">
        <v>174</v>
      </c>
      <c r="G80" s="164">
        <v>20</v>
      </c>
      <c r="H80" s="149"/>
    </row>
    <row r="81" spans="1:8" ht="70.5" customHeight="1" x14ac:dyDescent="0.3">
      <c r="A81" s="163" t="s">
        <v>285</v>
      </c>
      <c r="B81" s="197" t="s">
        <v>286</v>
      </c>
      <c r="C81" s="170" t="s">
        <v>61</v>
      </c>
      <c r="D81" s="163" t="s">
        <v>280</v>
      </c>
      <c r="E81" s="163" t="s">
        <v>287</v>
      </c>
      <c r="F81" s="163"/>
      <c r="G81" s="164">
        <f>G82</f>
        <v>60</v>
      </c>
      <c r="H81" s="149"/>
    </row>
    <row r="82" spans="1:8" ht="37.5" x14ac:dyDescent="0.3">
      <c r="A82" s="163" t="s">
        <v>288</v>
      </c>
      <c r="B82" s="168" t="s">
        <v>173</v>
      </c>
      <c r="C82" s="170" t="s">
        <v>61</v>
      </c>
      <c r="D82" s="170" t="s">
        <v>280</v>
      </c>
      <c r="E82" s="163" t="s">
        <v>287</v>
      </c>
      <c r="F82" s="163" t="s">
        <v>174</v>
      </c>
      <c r="G82" s="164">
        <v>60</v>
      </c>
      <c r="H82" s="149"/>
    </row>
    <row r="83" spans="1:8" ht="108" customHeight="1" x14ac:dyDescent="0.3">
      <c r="A83" s="163" t="s">
        <v>289</v>
      </c>
      <c r="B83" s="168" t="s">
        <v>486</v>
      </c>
      <c r="C83" s="170" t="s">
        <v>61</v>
      </c>
      <c r="D83" s="170" t="s">
        <v>280</v>
      </c>
      <c r="E83" s="163" t="s">
        <v>290</v>
      </c>
      <c r="F83" s="163"/>
      <c r="G83" s="164">
        <f>G84</f>
        <v>50</v>
      </c>
      <c r="H83" s="149"/>
    </row>
    <row r="84" spans="1:8" ht="33.75" customHeight="1" x14ac:dyDescent="0.3">
      <c r="A84" s="163" t="s">
        <v>291</v>
      </c>
      <c r="B84" s="168" t="s">
        <v>173</v>
      </c>
      <c r="C84" s="170" t="s">
        <v>61</v>
      </c>
      <c r="D84" s="170" t="s">
        <v>280</v>
      </c>
      <c r="E84" s="163" t="s">
        <v>290</v>
      </c>
      <c r="F84" s="163" t="s">
        <v>174</v>
      </c>
      <c r="G84" s="164">
        <v>50</v>
      </c>
      <c r="H84" s="149"/>
    </row>
    <row r="85" spans="1:8" ht="20.25" x14ac:dyDescent="0.3">
      <c r="A85" s="157" t="s">
        <v>292</v>
      </c>
      <c r="B85" s="195" t="s">
        <v>293</v>
      </c>
      <c r="C85" s="186" t="s">
        <v>61</v>
      </c>
      <c r="D85" s="157" t="s">
        <v>294</v>
      </c>
      <c r="E85" s="157"/>
      <c r="F85" s="157"/>
      <c r="G85" s="159">
        <f>G86+G91</f>
        <v>6094.3</v>
      </c>
      <c r="H85" s="149"/>
    </row>
    <row r="86" spans="1:8" ht="18.75" x14ac:dyDescent="0.3">
      <c r="A86" s="163" t="s">
        <v>295</v>
      </c>
      <c r="B86" s="168" t="s">
        <v>296</v>
      </c>
      <c r="C86" s="170" t="s">
        <v>61</v>
      </c>
      <c r="D86" s="163" t="s">
        <v>297</v>
      </c>
      <c r="E86" s="163"/>
      <c r="F86" s="163"/>
      <c r="G86" s="164">
        <f>G87+G89</f>
        <v>5004.6000000000004</v>
      </c>
      <c r="H86" s="149"/>
    </row>
    <row r="87" spans="1:8" ht="53.25" customHeight="1" x14ac:dyDescent="0.3">
      <c r="A87" s="163" t="s">
        <v>298</v>
      </c>
      <c r="B87" s="169" t="s">
        <v>299</v>
      </c>
      <c r="C87" s="170" t="s">
        <v>61</v>
      </c>
      <c r="D87" s="163" t="s">
        <v>300</v>
      </c>
      <c r="E87" s="163" t="s">
        <v>301</v>
      </c>
      <c r="F87" s="163"/>
      <c r="G87" s="164">
        <f>G88</f>
        <v>4032.5</v>
      </c>
      <c r="H87" s="149"/>
    </row>
    <row r="88" spans="1:8" ht="37.5" x14ac:dyDescent="0.3">
      <c r="A88" s="163" t="s">
        <v>302</v>
      </c>
      <c r="B88" s="168" t="s">
        <v>173</v>
      </c>
      <c r="C88" s="170" t="s">
        <v>61</v>
      </c>
      <c r="D88" s="163" t="s">
        <v>297</v>
      </c>
      <c r="E88" s="163" t="s">
        <v>301</v>
      </c>
      <c r="F88" s="163" t="s">
        <v>174</v>
      </c>
      <c r="G88" s="314">
        <v>4032.5</v>
      </c>
      <c r="H88" s="149"/>
    </row>
    <row r="89" spans="1:8" ht="93.75" x14ac:dyDescent="0.3">
      <c r="A89" s="163" t="s">
        <v>303</v>
      </c>
      <c r="B89" s="218" t="s">
        <v>388</v>
      </c>
      <c r="C89" s="170" t="s">
        <v>61</v>
      </c>
      <c r="D89" s="163" t="s">
        <v>300</v>
      </c>
      <c r="E89" s="163" t="s">
        <v>503</v>
      </c>
      <c r="F89" s="163"/>
      <c r="G89" s="303">
        <f>G90</f>
        <v>972.1</v>
      </c>
      <c r="H89" s="149"/>
    </row>
    <row r="90" spans="1:8" ht="37.5" x14ac:dyDescent="0.3">
      <c r="A90" s="163" t="s">
        <v>306</v>
      </c>
      <c r="B90" s="167" t="s">
        <v>173</v>
      </c>
      <c r="C90" s="170" t="s">
        <v>61</v>
      </c>
      <c r="D90" s="163" t="s">
        <v>300</v>
      </c>
      <c r="E90" s="163" t="s">
        <v>503</v>
      </c>
      <c r="F90" s="163" t="s">
        <v>174</v>
      </c>
      <c r="G90" s="315">
        <v>972.1</v>
      </c>
      <c r="H90" s="149"/>
    </row>
    <row r="91" spans="1:8" ht="37.5" x14ac:dyDescent="0.3">
      <c r="A91" s="163" t="s">
        <v>303</v>
      </c>
      <c r="B91" s="168" t="s">
        <v>304</v>
      </c>
      <c r="C91" s="170" t="s">
        <v>61</v>
      </c>
      <c r="D91" s="163" t="s">
        <v>305</v>
      </c>
      <c r="E91" s="163"/>
      <c r="F91" s="163"/>
      <c r="G91" s="164">
        <f>G92</f>
        <v>1089.7</v>
      </c>
      <c r="H91" s="149"/>
    </row>
    <row r="92" spans="1:8" ht="73.5" customHeight="1" x14ac:dyDescent="0.3">
      <c r="A92" s="163" t="s">
        <v>306</v>
      </c>
      <c r="B92" s="168" t="s">
        <v>307</v>
      </c>
      <c r="C92" s="170" t="s">
        <v>61</v>
      </c>
      <c r="D92" s="163" t="s">
        <v>305</v>
      </c>
      <c r="E92" s="163" t="s">
        <v>308</v>
      </c>
      <c r="F92" s="163"/>
      <c r="G92" s="164">
        <f>G93</f>
        <v>1089.7</v>
      </c>
      <c r="H92" s="149"/>
    </row>
    <row r="93" spans="1:8" ht="37.5" x14ac:dyDescent="0.3">
      <c r="A93" s="163" t="s">
        <v>309</v>
      </c>
      <c r="B93" s="168" t="s">
        <v>173</v>
      </c>
      <c r="C93" s="170" t="s">
        <v>61</v>
      </c>
      <c r="D93" s="163" t="s">
        <v>305</v>
      </c>
      <c r="E93" s="163" t="s">
        <v>308</v>
      </c>
      <c r="F93" s="163" t="s">
        <v>174</v>
      </c>
      <c r="G93" s="314">
        <v>1089.7</v>
      </c>
      <c r="H93" s="149"/>
    </row>
    <row r="94" spans="1:8" ht="20.25" x14ac:dyDescent="0.3">
      <c r="A94" s="157" t="s">
        <v>310</v>
      </c>
      <c r="B94" s="198" t="s">
        <v>311</v>
      </c>
      <c r="C94" s="186" t="s">
        <v>61</v>
      </c>
      <c r="D94" s="157" t="s">
        <v>312</v>
      </c>
      <c r="E94" s="157"/>
      <c r="F94" s="157"/>
      <c r="G94" s="159">
        <f>G95+G98</f>
        <v>9513.4</v>
      </c>
      <c r="H94" s="149"/>
    </row>
    <row r="95" spans="1:8" ht="20.25" x14ac:dyDescent="0.3">
      <c r="A95" s="199" t="s">
        <v>313</v>
      </c>
      <c r="B95" s="168" t="s">
        <v>314</v>
      </c>
      <c r="C95" s="170" t="s">
        <v>61</v>
      </c>
      <c r="D95" s="163" t="s">
        <v>315</v>
      </c>
      <c r="E95" s="163"/>
      <c r="F95" s="163"/>
      <c r="G95" s="164">
        <f>G96</f>
        <v>846.3</v>
      </c>
      <c r="H95" s="149"/>
    </row>
    <row r="96" spans="1:8" ht="52.5" customHeight="1" x14ac:dyDescent="0.3">
      <c r="A96" s="199" t="s">
        <v>316</v>
      </c>
      <c r="B96" s="168" t="s">
        <v>317</v>
      </c>
      <c r="C96" s="170" t="s">
        <v>61</v>
      </c>
      <c r="D96" s="163" t="s">
        <v>315</v>
      </c>
      <c r="E96" s="163" t="s">
        <v>318</v>
      </c>
      <c r="F96" s="163"/>
      <c r="G96" s="164">
        <f>G97</f>
        <v>846.3</v>
      </c>
      <c r="H96" s="149"/>
    </row>
    <row r="97" spans="1:8" ht="20.25" x14ac:dyDescent="0.3">
      <c r="A97" s="199" t="s">
        <v>319</v>
      </c>
      <c r="B97" s="168" t="s">
        <v>320</v>
      </c>
      <c r="C97" s="170" t="s">
        <v>61</v>
      </c>
      <c r="D97" s="163" t="s">
        <v>315</v>
      </c>
      <c r="E97" s="163" t="s">
        <v>318</v>
      </c>
      <c r="F97" s="163" t="s">
        <v>321</v>
      </c>
      <c r="G97" s="312">
        <v>846.3</v>
      </c>
      <c r="H97" s="149"/>
    </row>
    <row r="98" spans="1:8" s="201" customFormat="1" ht="20.25" x14ac:dyDescent="0.3">
      <c r="A98" s="199" t="s">
        <v>322</v>
      </c>
      <c r="B98" s="168" t="s">
        <v>323</v>
      </c>
      <c r="C98" s="170" t="s">
        <v>61</v>
      </c>
      <c r="D98" s="163" t="s">
        <v>324</v>
      </c>
      <c r="E98" s="163"/>
      <c r="F98" s="163"/>
      <c r="G98" s="164">
        <f>G99+G101</f>
        <v>8667.1</v>
      </c>
      <c r="H98" s="200"/>
    </row>
    <row r="99" spans="1:8" ht="74.25" customHeight="1" x14ac:dyDescent="0.3">
      <c r="A99" s="160" t="s">
        <v>325</v>
      </c>
      <c r="B99" s="202" t="s">
        <v>326</v>
      </c>
      <c r="C99" s="163" t="s">
        <v>61</v>
      </c>
      <c r="D99" s="163" t="s">
        <v>324</v>
      </c>
      <c r="E99" s="163" t="s">
        <v>327</v>
      </c>
      <c r="F99" s="160"/>
      <c r="G99" s="161">
        <f>G100</f>
        <v>5804</v>
      </c>
      <c r="H99" s="149"/>
    </row>
    <row r="100" spans="1:8" ht="18.75" x14ac:dyDescent="0.3">
      <c r="A100" s="160" t="s">
        <v>328</v>
      </c>
      <c r="B100" s="166" t="s">
        <v>320</v>
      </c>
      <c r="C100" s="170" t="s">
        <v>61</v>
      </c>
      <c r="D100" s="163" t="s">
        <v>324</v>
      </c>
      <c r="E100" s="163" t="s">
        <v>327</v>
      </c>
      <c r="F100" s="163" t="s">
        <v>321</v>
      </c>
      <c r="G100" s="164">
        <v>5804</v>
      </c>
      <c r="H100" s="149"/>
    </row>
    <row r="101" spans="1:8" ht="53.45" customHeight="1" x14ac:dyDescent="0.3">
      <c r="A101" s="160" t="s">
        <v>329</v>
      </c>
      <c r="B101" s="168" t="s">
        <v>330</v>
      </c>
      <c r="C101" s="170" t="s">
        <v>61</v>
      </c>
      <c r="D101" s="163" t="s">
        <v>324</v>
      </c>
      <c r="E101" s="163" t="s">
        <v>331</v>
      </c>
      <c r="F101" s="163"/>
      <c r="G101" s="164">
        <f>G102</f>
        <v>2863.1</v>
      </c>
      <c r="H101" s="149"/>
    </row>
    <row r="102" spans="1:8" ht="18.75" x14ac:dyDescent="0.3">
      <c r="A102" s="160" t="s">
        <v>332</v>
      </c>
      <c r="B102" s="166" t="s">
        <v>320</v>
      </c>
      <c r="C102" s="170" t="s">
        <v>61</v>
      </c>
      <c r="D102" s="163" t="s">
        <v>324</v>
      </c>
      <c r="E102" s="163" t="s">
        <v>331</v>
      </c>
      <c r="F102" s="163" t="s">
        <v>321</v>
      </c>
      <c r="G102" s="164">
        <v>2863.1</v>
      </c>
      <c r="H102" s="149"/>
    </row>
    <row r="103" spans="1:8" s="72" customFormat="1" ht="20.25" x14ac:dyDescent="0.3">
      <c r="A103" s="157" t="s">
        <v>384</v>
      </c>
      <c r="B103" s="219" t="s">
        <v>382</v>
      </c>
      <c r="C103" s="192" t="s">
        <v>61</v>
      </c>
      <c r="D103" s="173" t="s">
        <v>378</v>
      </c>
      <c r="E103" s="173"/>
      <c r="F103" s="173"/>
      <c r="G103" s="174">
        <f>G104</f>
        <v>60</v>
      </c>
      <c r="H103" s="175"/>
    </row>
    <row r="104" spans="1:8" s="72" customFormat="1" ht="20.25" x14ac:dyDescent="0.3">
      <c r="A104" s="157" t="s">
        <v>385</v>
      </c>
      <c r="B104" s="219" t="s">
        <v>383</v>
      </c>
      <c r="C104" s="192" t="s">
        <v>61</v>
      </c>
      <c r="D104" s="173" t="s">
        <v>379</v>
      </c>
      <c r="E104" s="173"/>
      <c r="F104" s="173"/>
      <c r="G104" s="174">
        <f>G105</f>
        <v>60</v>
      </c>
      <c r="H104" s="175"/>
    </row>
    <row r="105" spans="1:8" ht="150" x14ac:dyDescent="0.3">
      <c r="A105" s="199" t="s">
        <v>386</v>
      </c>
      <c r="B105" s="220" t="s">
        <v>381</v>
      </c>
      <c r="C105" s="170" t="s">
        <v>61</v>
      </c>
      <c r="D105" s="163" t="s">
        <v>379</v>
      </c>
      <c r="E105" s="163" t="s">
        <v>380</v>
      </c>
      <c r="F105" s="163"/>
      <c r="G105" s="164">
        <f>G106</f>
        <v>60</v>
      </c>
      <c r="H105" s="149"/>
    </row>
    <row r="106" spans="1:8" ht="37.5" x14ac:dyDescent="0.3">
      <c r="A106" s="199" t="s">
        <v>387</v>
      </c>
      <c r="B106" s="168" t="s">
        <v>173</v>
      </c>
      <c r="C106" s="170" t="s">
        <v>61</v>
      </c>
      <c r="D106" s="163" t="s">
        <v>379</v>
      </c>
      <c r="E106" s="163" t="s">
        <v>380</v>
      </c>
      <c r="F106" s="163" t="s">
        <v>174</v>
      </c>
      <c r="G106" s="164">
        <v>60</v>
      </c>
      <c r="H106" s="149"/>
    </row>
    <row r="107" spans="1:8" ht="81" x14ac:dyDescent="0.3">
      <c r="A107" s="203" t="s">
        <v>333</v>
      </c>
      <c r="B107" s="204" t="s">
        <v>334</v>
      </c>
      <c r="C107" s="199" t="s">
        <v>335</v>
      </c>
      <c r="D107" s="199"/>
      <c r="E107" s="199"/>
      <c r="F107" s="199"/>
      <c r="G107" s="205">
        <f>G108+G124</f>
        <v>10914.4</v>
      </c>
      <c r="H107" s="149"/>
    </row>
    <row r="108" spans="1:8" ht="20.25" x14ac:dyDescent="0.3">
      <c r="A108" s="157" t="s">
        <v>126</v>
      </c>
      <c r="B108" s="158" t="s">
        <v>158</v>
      </c>
      <c r="C108" s="157" t="s">
        <v>335</v>
      </c>
      <c r="D108" s="157" t="s">
        <v>159</v>
      </c>
      <c r="E108" s="157"/>
      <c r="F108" s="157"/>
      <c r="G108" s="159">
        <f>G109+G112+G121</f>
        <v>9414.4</v>
      </c>
      <c r="H108" s="149"/>
    </row>
    <row r="109" spans="1:8" ht="51.75" customHeight="1" x14ac:dyDescent="0.3">
      <c r="A109" s="163" t="s">
        <v>336</v>
      </c>
      <c r="B109" s="165" t="s">
        <v>337</v>
      </c>
      <c r="C109" s="163" t="s">
        <v>335</v>
      </c>
      <c r="D109" s="163" t="s">
        <v>338</v>
      </c>
      <c r="E109" s="163"/>
      <c r="F109" s="163"/>
      <c r="G109" s="161">
        <f>G110</f>
        <v>888.7</v>
      </c>
      <c r="H109" s="149"/>
    </row>
    <row r="110" spans="1:8" ht="35.25" customHeight="1" x14ac:dyDescent="0.3">
      <c r="A110" s="163" t="s">
        <v>127</v>
      </c>
      <c r="B110" s="162" t="s">
        <v>339</v>
      </c>
      <c r="C110" s="163" t="s">
        <v>335</v>
      </c>
      <c r="D110" s="163" t="s">
        <v>338</v>
      </c>
      <c r="E110" s="163" t="s">
        <v>340</v>
      </c>
      <c r="F110" s="163"/>
      <c r="G110" s="164">
        <f>G111</f>
        <v>888.7</v>
      </c>
      <c r="H110" s="149"/>
    </row>
    <row r="111" spans="1:8" ht="93.75" x14ac:dyDescent="0.3">
      <c r="A111" s="163" t="s">
        <v>127</v>
      </c>
      <c r="B111" s="169" t="s">
        <v>166</v>
      </c>
      <c r="C111" s="163" t="s">
        <v>335</v>
      </c>
      <c r="D111" s="163" t="s">
        <v>338</v>
      </c>
      <c r="E111" s="163" t="s">
        <v>340</v>
      </c>
      <c r="F111" s="163" t="s">
        <v>167</v>
      </c>
      <c r="G111" s="312">
        <v>888.7</v>
      </c>
      <c r="H111" s="149"/>
    </row>
    <row r="112" spans="1:8" ht="70.5" customHeight="1" x14ac:dyDescent="0.3">
      <c r="A112" s="160" t="s">
        <v>341</v>
      </c>
      <c r="B112" s="167" t="s">
        <v>342</v>
      </c>
      <c r="C112" s="163" t="s">
        <v>335</v>
      </c>
      <c r="D112" s="160" t="s">
        <v>343</v>
      </c>
      <c r="E112" s="160" t="s">
        <v>344</v>
      </c>
      <c r="F112" s="160"/>
      <c r="G112" s="161">
        <f>G117+G115+G113</f>
        <v>8453.6999999999989</v>
      </c>
      <c r="H112" s="149"/>
    </row>
    <row r="113" spans="1:8" ht="34.5" customHeight="1" x14ac:dyDescent="0.3">
      <c r="A113" s="160" t="s">
        <v>345</v>
      </c>
      <c r="B113" s="167" t="s">
        <v>346</v>
      </c>
      <c r="C113" s="163" t="s">
        <v>335</v>
      </c>
      <c r="D113" s="160" t="s">
        <v>343</v>
      </c>
      <c r="E113" s="160" t="s">
        <v>347</v>
      </c>
      <c r="F113" s="160"/>
      <c r="G113" s="161">
        <f>G114</f>
        <v>759.1</v>
      </c>
      <c r="H113" s="149"/>
    </row>
    <row r="114" spans="1:8" ht="108.75" customHeight="1" x14ac:dyDescent="0.3">
      <c r="A114" s="160" t="s">
        <v>348</v>
      </c>
      <c r="B114" s="167" t="s">
        <v>349</v>
      </c>
      <c r="C114" s="163" t="s">
        <v>335</v>
      </c>
      <c r="D114" s="160" t="s">
        <v>343</v>
      </c>
      <c r="E114" s="160" t="s">
        <v>347</v>
      </c>
      <c r="F114" s="160" t="s">
        <v>167</v>
      </c>
      <c r="G114" s="316">
        <v>759.1</v>
      </c>
      <c r="H114" s="149"/>
    </row>
    <row r="115" spans="1:8" ht="37.5" x14ac:dyDescent="0.3">
      <c r="A115" s="160" t="s">
        <v>350</v>
      </c>
      <c r="B115" s="167" t="s">
        <v>351</v>
      </c>
      <c r="C115" s="163" t="s">
        <v>335</v>
      </c>
      <c r="D115" s="160" t="s">
        <v>343</v>
      </c>
      <c r="E115" s="160" t="s">
        <v>352</v>
      </c>
      <c r="F115" s="160"/>
      <c r="G115" s="207">
        <f>G116</f>
        <v>100.8</v>
      </c>
      <c r="H115" s="149"/>
    </row>
    <row r="116" spans="1:8" ht="93.75" x14ac:dyDescent="0.3">
      <c r="A116" s="160" t="s">
        <v>353</v>
      </c>
      <c r="B116" s="169" t="s">
        <v>166</v>
      </c>
      <c r="C116" s="163" t="s">
        <v>335</v>
      </c>
      <c r="D116" s="160" t="s">
        <v>343</v>
      </c>
      <c r="E116" s="160" t="s">
        <v>352</v>
      </c>
      <c r="F116" s="160" t="s">
        <v>167</v>
      </c>
      <c r="G116" s="206">
        <v>100.8</v>
      </c>
      <c r="H116" s="149"/>
    </row>
    <row r="117" spans="1:8" ht="36" customHeight="1" x14ac:dyDescent="0.3">
      <c r="A117" s="160" t="s">
        <v>354</v>
      </c>
      <c r="B117" s="167" t="s">
        <v>355</v>
      </c>
      <c r="C117" s="163" t="s">
        <v>335</v>
      </c>
      <c r="D117" s="160" t="s">
        <v>343</v>
      </c>
      <c r="E117" s="160"/>
      <c r="F117" s="160"/>
      <c r="G117" s="207">
        <f>G118+G119+G120</f>
        <v>7593.7999999999993</v>
      </c>
      <c r="H117" s="149"/>
    </row>
    <row r="118" spans="1:8" ht="90.75" customHeight="1" x14ac:dyDescent="0.3">
      <c r="A118" s="160" t="s">
        <v>356</v>
      </c>
      <c r="B118" s="169" t="s">
        <v>166</v>
      </c>
      <c r="C118" s="163" t="s">
        <v>335</v>
      </c>
      <c r="D118" s="160" t="s">
        <v>343</v>
      </c>
      <c r="E118" s="160" t="s">
        <v>357</v>
      </c>
      <c r="F118" s="160" t="s">
        <v>167</v>
      </c>
      <c r="G118" s="316">
        <v>3770.2</v>
      </c>
      <c r="H118" s="149"/>
    </row>
    <row r="119" spans="1:8" ht="37.5" x14ac:dyDescent="0.3">
      <c r="A119" s="160" t="s">
        <v>358</v>
      </c>
      <c r="B119" s="168" t="s">
        <v>173</v>
      </c>
      <c r="C119" s="163" t="s">
        <v>335</v>
      </c>
      <c r="D119" s="160" t="s">
        <v>343</v>
      </c>
      <c r="E119" s="160" t="s">
        <v>357</v>
      </c>
      <c r="F119" s="160" t="s">
        <v>174</v>
      </c>
      <c r="G119" s="317">
        <f>3271.3+300+95.1+141.2</f>
        <v>3807.6</v>
      </c>
      <c r="H119" s="304" t="s">
        <v>517</v>
      </c>
    </row>
    <row r="120" spans="1:8" ht="18.75" x14ac:dyDescent="0.3">
      <c r="A120" s="160" t="s">
        <v>359</v>
      </c>
      <c r="B120" s="166" t="s">
        <v>176</v>
      </c>
      <c r="C120" s="163" t="s">
        <v>335</v>
      </c>
      <c r="D120" s="160" t="s">
        <v>343</v>
      </c>
      <c r="E120" s="160" t="s">
        <v>357</v>
      </c>
      <c r="F120" s="160" t="s">
        <v>177</v>
      </c>
      <c r="G120" s="207">
        <v>16</v>
      </c>
      <c r="H120" s="149"/>
    </row>
    <row r="121" spans="1:8" ht="40.5" x14ac:dyDescent="0.3">
      <c r="A121" s="173" t="s">
        <v>360</v>
      </c>
      <c r="B121" s="176" t="s">
        <v>190</v>
      </c>
      <c r="C121" s="177" t="s">
        <v>335</v>
      </c>
      <c r="D121" s="155" t="s">
        <v>191</v>
      </c>
      <c r="E121" s="155"/>
      <c r="F121" s="155"/>
      <c r="G121" s="300">
        <f>G122</f>
        <v>72</v>
      </c>
      <c r="H121" s="149"/>
    </row>
    <row r="122" spans="1:8" ht="56.25" x14ac:dyDescent="0.3">
      <c r="A122" s="163" t="s">
        <v>361</v>
      </c>
      <c r="B122" s="208" t="s">
        <v>362</v>
      </c>
      <c r="C122" s="170" t="s">
        <v>335</v>
      </c>
      <c r="D122" s="160" t="s">
        <v>191</v>
      </c>
      <c r="E122" s="160" t="s">
        <v>363</v>
      </c>
      <c r="F122" s="160"/>
      <c r="G122" s="207">
        <f>G123</f>
        <v>72</v>
      </c>
      <c r="H122" s="149"/>
    </row>
    <row r="123" spans="1:8" ht="18.75" x14ac:dyDescent="0.3">
      <c r="A123" s="163" t="s">
        <v>364</v>
      </c>
      <c r="B123" s="166" t="s">
        <v>176</v>
      </c>
      <c r="C123" s="170" t="s">
        <v>335</v>
      </c>
      <c r="D123" s="160" t="s">
        <v>191</v>
      </c>
      <c r="E123" s="160" t="s">
        <v>363</v>
      </c>
      <c r="F123" s="160" t="s">
        <v>177</v>
      </c>
      <c r="G123" s="209">
        <v>72</v>
      </c>
      <c r="H123" s="149"/>
    </row>
    <row r="124" spans="1:8" ht="20.25" x14ac:dyDescent="0.3">
      <c r="A124" s="157" t="s">
        <v>365</v>
      </c>
      <c r="B124" s="195" t="s">
        <v>366</v>
      </c>
      <c r="C124" s="186" t="s">
        <v>335</v>
      </c>
      <c r="D124" s="157" t="s">
        <v>367</v>
      </c>
      <c r="E124" s="191"/>
      <c r="F124" s="157"/>
      <c r="G124" s="301">
        <f>G125</f>
        <v>1500</v>
      </c>
      <c r="H124" s="149"/>
    </row>
    <row r="125" spans="1:8" ht="20.25" customHeight="1" x14ac:dyDescent="0.3">
      <c r="A125" s="163" t="s">
        <v>368</v>
      </c>
      <c r="B125" s="210" t="s">
        <v>369</v>
      </c>
      <c r="C125" s="192" t="s">
        <v>335</v>
      </c>
      <c r="D125" s="173" t="s">
        <v>370</v>
      </c>
      <c r="E125" s="173"/>
      <c r="F125" s="173"/>
      <c r="G125" s="301">
        <f>G126</f>
        <v>1500</v>
      </c>
      <c r="H125" s="149"/>
    </row>
    <row r="126" spans="1:8" ht="184.5" customHeight="1" x14ac:dyDescent="0.3">
      <c r="A126" s="163" t="s">
        <v>368</v>
      </c>
      <c r="B126" s="169" t="s">
        <v>371</v>
      </c>
      <c r="C126" s="170" t="s">
        <v>335</v>
      </c>
      <c r="D126" s="163" t="s">
        <v>370</v>
      </c>
      <c r="E126" s="163" t="s">
        <v>372</v>
      </c>
      <c r="F126" s="163"/>
      <c r="G126" s="209">
        <f>G127</f>
        <v>1500</v>
      </c>
      <c r="H126" s="149"/>
    </row>
    <row r="127" spans="1:8" ht="35.25" customHeight="1" x14ac:dyDescent="0.3">
      <c r="A127" s="163" t="s">
        <v>368</v>
      </c>
      <c r="B127" s="168" t="s">
        <v>173</v>
      </c>
      <c r="C127" s="170" t="s">
        <v>335</v>
      </c>
      <c r="D127" s="163" t="s">
        <v>370</v>
      </c>
      <c r="E127" s="163" t="s">
        <v>372</v>
      </c>
      <c r="F127" s="163" t="s">
        <v>174</v>
      </c>
      <c r="G127" s="164">
        <v>1500</v>
      </c>
      <c r="H127" s="149"/>
    </row>
    <row r="128" spans="1:8" s="216" customFormat="1" ht="18" x14ac:dyDescent="0.25">
      <c r="A128" s="211"/>
      <c r="B128" s="212" t="s">
        <v>375</v>
      </c>
      <c r="C128" s="213"/>
      <c r="D128" s="214"/>
      <c r="E128" s="214"/>
      <c r="F128" s="214"/>
      <c r="G128" s="215">
        <f>G107+G9</f>
        <v>82203.799999999988</v>
      </c>
    </row>
    <row r="132" spans="7:7" x14ac:dyDescent="0.25">
      <c r="G132" s="302">
        <f>Доходы!E66-ВСР!G128</f>
        <v>1.9730000014533289E-2</v>
      </c>
    </row>
  </sheetData>
  <autoFilter ref="A7:G128"/>
  <mergeCells count="1">
    <mergeCell ref="A6:G6"/>
  </mergeCells>
  <pageMargins left="0.7" right="0.7" top="0.75" bottom="0.75" header="0.3" footer="0.3"/>
  <pageSetup paperSize="9" scale="56" orientation="portrait" r:id="rId1"/>
  <rowBreaks count="4" manualBreakCount="4">
    <brk id="29" max="6" man="1"/>
    <brk id="55" max="6" man="1"/>
    <brk id="83" max="6" man="1"/>
    <brk id="11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U137"/>
  <sheetViews>
    <sheetView tabSelected="1" view="pageBreakPreview" topLeftCell="A91" zoomScale="80" zoomScaleNormal="70" zoomScaleSheetLayoutView="80" workbookViewId="0">
      <selection activeCell="A6" sqref="A6:XFD6"/>
    </sheetView>
  </sheetViews>
  <sheetFormatPr defaultColWidth="9.140625" defaultRowHeight="12.75" x14ac:dyDescent="0.2"/>
  <cols>
    <col min="1" max="1" width="13" style="221" customWidth="1"/>
    <col min="2" max="2" width="71.42578125" style="136" customWidth="1"/>
    <col min="3" max="3" width="12.85546875" style="133" customWidth="1"/>
    <col min="4" max="4" width="17.85546875" style="279" customWidth="1"/>
    <col min="5" max="5" width="15.140625" style="133" customWidth="1"/>
    <col min="6" max="6" width="14.140625" style="133" hidden="1" customWidth="1"/>
    <col min="7" max="7" width="18.42578125" style="2" customWidth="1"/>
    <col min="8" max="8" width="13.42578125" style="2" customWidth="1"/>
    <col min="9" max="9" width="12.42578125" style="2" bestFit="1" customWidth="1"/>
    <col min="10" max="16" width="0" style="2" hidden="1" customWidth="1"/>
    <col min="17" max="252" width="9.140625" style="2"/>
    <col min="253" max="253" width="13" style="2" customWidth="1"/>
    <col min="254" max="254" width="71.42578125" style="2" customWidth="1"/>
    <col min="255" max="255" width="12.85546875" style="2" customWidth="1"/>
    <col min="256" max="256" width="17.85546875" style="2" customWidth="1"/>
    <col min="257" max="257" width="15.140625" style="2" customWidth="1"/>
    <col min="258" max="258" width="0" style="2" hidden="1" customWidth="1"/>
    <col min="259" max="259" width="18.42578125" style="2" customWidth="1"/>
    <col min="260" max="263" width="0" style="2" hidden="1" customWidth="1"/>
    <col min="264" max="264" width="13.42578125" style="2" customWidth="1"/>
    <col min="265" max="265" width="12.42578125" style="2" bestFit="1" customWidth="1"/>
    <col min="266" max="272" width="0" style="2" hidden="1" customWidth="1"/>
    <col min="273" max="508" width="9.140625" style="2"/>
    <col min="509" max="509" width="13" style="2" customWidth="1"/>
    <col min="510" max="510" width="71.42578125" style="2" customWidth="1"/>
    <col min="511" max="511" width="12.85546875" style="2" customWidth="1"/>
    <col min="512" max="512" width="17.85546875" style="2" customWidth="1"/>
    <col min="513" max="513" width="15.140625" style="2" customWidth="1"/>
    <col min="514" max="514" width="0" style="2" hidden="1" customWidth="1"/>
    <col min="515" max="515" width="18.42578125" style="2" customWidth="1"/>
    <col min="516" max="519" width="0" style="2" hidden="1" customWidth="1"/>
    <col min="520" max="520" width="13.42578125" style="2" customWidth="1"/>
    <col min="521" max="521" width="12.42578125" style="2" bestFit="1" customWidth="1"/>
    <col min="522" max="528" width="0" style="2" hidden="1" customWidth="1"/>
    <col min="529" max="764" width="9.140625" style="2"/>
    <col min="765" max="765" width="13" style="2" customWidth="1"/>
    <col min="766" max="766" width="71.42578125" style="2" customWidth="1"/>
    <col min="767" max="767" width="12.85546875" style="2" customWidth="1"/>
    <col min="768" max="768" width="17.85546875" style="2" customWidth="1"/>
    <col min="769" max="769" width="15.140625" style="2" customWidth="1"/>
    <col min="770" max="770" width="0" style="2" hidden="1" customWidth="1"/>
    <col min="771" max="771" width="18.42578125" style="2" customWidth="1"/>
    <col min="772" max="775" width="0" style="2" hidden="1" customWidth="1"/>
    <col min="776" max="776" width="13.42578125" style="2" customWidth="1"/>
    <col min="777" max="777" width="12.42578125" style="2" bestFit="1" customWidth="1"/>
    <col min="778" max="784" width="0" style="2" hidden="1" customWidth="1"/>
    <col min="785" max="1020" width="9.140625" style="2"/>
    <col min="1021" max="1021" width="13" style="2" customWidth="1"/>
    <col min="1022" max="1022" width="71.42578125" style="2" customWidth="1"/>
    <col min="1023" max="1023" width="12.85546875" style="2" customWidth="1"/>
    <col min="1024" max="1024" width="17.85546875" style="2" customWidth="1"/>
    <col min="1025" max="1025" width="15.140625" style="2" customWidth="1"/>
    <col min="1026" max="1026" width="0" style="2" hidden="1" customWidth="1"/>
    <col min="1027" max="1027" width="18.42578125" style="2" customWidth="1"/>
    <col min="1028" max="1031" width="0" style="2" hidden="1" customWidth="1"/>
    <col min="1032" max="1032" width="13.42578125" style="2" customWidth="1"/>
    <col min="1033" max="1033" width="12.42578125" style="2" bestFit="1" customWidth="1"/>
    <col min="1034" max="1040" width="0" style="2" hidden="1" customWidth="1"/>
    <col min="1041" max="1276" width="9.140625" style="2"/>
    <col min="1277" max="1277" width="13" style="2" customWidth="1"/>
    <col min="1278" max="1278" width="71.42578125" style="2" customWidth="1"/>
    <col min="1279" max="1279" width="12.85546875" style="2" customWidth="1"/>
    <col min="1280" max="1280" width="17.85546875" style="2" customWidth="1"/>
    <col min="1281" max="1281" width="15.140625" style="2" customWidth="1"/>
    <col min="1282" max="1282" width="0" style="2" hidden="1" customWidth="1"/>
    <col min="1283" max="1283" width="18.42578125" style="2" customWidth="1"/>
    <col min="1284" max="1287" width="0" style="2" hidden="1" customWidth="1"/>
    <col min="1288" max="1288" width="13.42578125" style="2" customWidth="1"/>
    <col min="1289" max="1289" width="12.42578125" style="2" bestFit="1" customWidth="1"/>
    <col min="1290" max="1296" width="0" style="2" hidden="1" customWidth="1"/>
    <col min="1297" max="1532" width="9.140625" style="2"/>
    <col min="1533" max="1533" width="13" style="2" customWidth="1"/>
    <col min="1534" max="1534" width="71.42578125" style="2" customWidth="1"/>
    <col min="1535" max="1535" width="12.85546875" style="2" customWidth="1"/>
    <col min="1536" max="1536" width="17.85546875" style="2" customWidth="1"/>
    <col min="1537" max="1537" width="15.140625" style="2" customWidth="1"/>
    <col min="1538" max="1538" width="0" style="2" hidden="1" customWidth="1"/>
    <col min="1539" max="1539" width="18.42578125" style="2" customWidth="1"/>
    <col min="1540" max="1543" width="0" style="2" hidden="1" customWidth="1"/>
    <col min="1544" max="1544" width="13.42578125" style="2" customWidth="1"/>
    <col min="1545" max="1545" width="12.42578125" style="2" bestFit="1" customWidth="1"/>
    <col min="1546" max="1552" width="0" style="2" hidden="1" customWidth="1"/>
    <col min="1553" max="1788" width="9.140625" style="2"/>
    <col min="1789" max="1789" width="13" style="2" customWidth="1"/>
    <col min="1790" max="1790" width="71.42578125" style="2" customWidth="1"/>
    <col min="1791" max="1791" width="12.85546875" style="2" customWidth="1"/>
    <col min="1792" max="1792" width="17.85546875" style="2" customWidth="1"/>
    <col min="1793" max="1793" width="15.140625" style="2" customWidth="1"/>
    <col min="1794" max="1794" width="0" style="2" hidden="1" customWidth="1"/>
    <col min="1795" max="1795" width="18.42578125" style="2" customWidth="1"/>
    <col min="1796" max="1799" width="0" style="2" hidden="1" customWidth="1"/>
    <col min="1800" max="1800" width="13.42578125" style="2" customWidth="1"/>
    <col min="1801" max="1801" width="12.42578125" style="2" bestFit="1" customWidth="1"/>
    <col min="1802" max="1808" width="0" style="2" hidden="1" customWidth="1"/>
    <col min="1809" max="2044" width="9.140625" style="2"/>
    <col min="2045" max="2045" width="13" style="2" customWidth="1"/>
    <col min="2046" max="2046" width="71.42578125" style="2" customWidth="1"/>
    <col min="2047" max="2047" width="12.85546875" style="2" customWidth="1"/>
    <col min="2048" max="2048" width="17.85546875" style="2" customWidth="1"/>
    <col min="2049" max="2049" width="15.140625" style="2" customWidth="1"/>
    <col min="2050" max="2050" width="0" style="2" hidden="1" customWidth="1"/>
    <col min="2051" max="2051" width="18.42578125" style="2" customWidth="1"/>
    <col min="2052" max="2055" width="0" style="2" hidden="1" customWidth="1"/>
    <col min="2056" max="2056" width="13.42578125" style="2" customWidth="1"/>
    <col min="2057" max="2057" width="12.42578125" style="2" bestFit="1" customWidth="1"/>
    <col min="2058" max="2064" width="0" style="2" hidden="1" customWidth="1"/>
    <col min="2065" max="2300" width="9.140625" style="2"/>
    <col min="2301" max="2301" width="13" style="2" customWidth="1"/>
    <col min="2302" max="2302" width="71.42578125" style="2" customWidth="1"/>
    <col min="2303" max="2303" width="12.85546875" style="2" customWidth="1"/>
    <col min="2304" max="2304" width="17.85546875" style="2" customWidth="1"/>
    <col min="2305" max="2305" width="15.140625" style="2" customWidth="1"/>
    <col min="2306" max="2306" width="0" style="2" hidden="1" customWidth="1"/>
    <col min="2307" max="2307" width="18.42578125" style="2" customWidth="1"/>
    <col min="2308" max="2311" width="0" style="2" hidden="1" customWidth="1"/>
    <col min="2312" max="2312" width="13.42578125" style="2" customWidth="1"/>
    <col min="2313" max="2313" width="12.42578125" style="2" bestFit="1" customWidth="1"/>
    <col min="2314" max="2320" width="0" style="2" hidden="1" customWidth="1"/>
    <col min="2321" max="2556" width="9.140625" style="2"/>
    <col min="2557" max="2557" width="13" style="2" customWidth="1"/>
    <col min="2558" max="2558" width="71.42578125" style="2" customWidth="1"/>
    <col min="2559" max="2559" width="12.85546875" style="2" customWidth="1"/>
    <col min="2560" max="2560" width="17.85546875" style="2" customWidth="1"/>
    <col min="2561" max="2561" width="15.140625" style="2" customWidth="1"/>
    <col min="2562" max="2562" width="0" style="2" hidden="1" customWidth="1"/>
    <col min="2563" max="2563" width="18.42578125" style="2" customWidth="1"/>
    <col min="2564" max="2567" width="0" style="2" hidden="1" customWidth="1"/>
    <col min="2568" max="2568" width="13.42578125" style="2" customWidth="1"/>
    <col min="2569" max="2569" width="12.42578125" style="2" bestFit="1" customWidth="1"/>
    <col min="2570" max="2576" width="0" style="2" hidden="1" customWidth="1"/>
    <col min="2577" max="2812" width="9.140625" style="2"/>
    <col min="2813" max="2813" width="13" style="2" customWidth="1"/>
    <col min="2814" max="2814" width="71.42578125" style="2" customWidth="1"/>
    <col min="2815" max="2815" width="12.85546875" style="2" customWidth="1"/>
    <col min="2816" max="2816" width="17.85546875" style="2" customWidth="1"/>
    <col min="2817" max="2817" width="15.140625" style="2" customWidth="1"/>
    <col min="2818" max="2818" width="0" style="2" hidden="1" customWidth="1"/>
    <col min="2819" max="2819" width="18.42578125" style="2" customWidth="1"/>
    <col min="2820" max="2823" width="0" style="2" hidden="1" customWidth="1"/>
    <col min="2824" max="2824" width="13.42578125" style="2" customWidth="1"/>
    <col min="2825" max="2825" width="12.42578125" style="2" bestFit="1" customWidth="1"/>
    <col min="2826" max="2832" width="0" style="2" hidden="1" customWidth="1"/>
    <col min="2833" max="3068" width="9.140625" style="2"/>
    <col min="3069" max="3069" width="13" style="2" customWidth="1"/>
    <col min="3070" max="3070" width="71.42578125" style="2" customWidth="1"/>
    <col min="3071" max="3071" width="12.85546875" style="2" customWidth="1"/>
    <col min="3072" max="3072" width="17.85546875" style="2" customWidth="1"/>
    <col min="3073" max="3073" width="15.140625" style="2" customWidth="1"/>
    <col min="3074" max="3074" width="0" style="2" hidden="1" customWidth="1"/>
    <col min="3075" max="3075" width="18.42578125" style="2" customWidth="1"/>
    <col min="3076" max="3079" width="0" style="2" hidden="1" customWidth="1"/>
    <col min="3080" max="3080" width="13.42578125" style="2" customWidth="1"/>
    <col min="3081" max="3081" width="12.42578125" style="2" bestFit="1" customWidth="1"/>
    <col min="3082" max="3088" width="0" style="2" hidden="1" customWidth="1"/>
    <col min="3089" max="3324" width="9.140625" style="2"/>
    <col min="3325" max="3325" width="13" style="2" customWidth="1"/>
    <col min="3326" max="3326" width="71.42578125" style="2" customWidth="1"/>
    <col min="3327" max="3327" width="12.85546875" style="2" customWidth="1"/>
    <col min="3328" max="3328" width="17.85546875" style="2" customWidth="1"/>
    <col min="3329" max="3329" width="15.140625" style="2" customWidth="1"/>
    <col min="3330" max="3330" width="0" style="2" hidden="1" customWidth="1"/>
    <col min="3331" max="3331" width="18.42578125" style="2" customWidth="1"/>
    <col min="3332" max="3335" width="0" style="2" hidden="1" customWidth="1"/>
    <col min="3336" max="3336" width="13.42578125" style="2" customWidth="1"/>
    <col min="3337" max="3337" width="12.42578125" style="2" bestFit="1" customWidth="1"/>
    <col min="3338" max="3344" width="0" style="2" hidden="1" customWidth="1"/>
    <col min="3345" max="3580" width="9.140625" style="2"/>
    <col min="3581" max="3581" width="13" style="2" customWidth="1"/>
    <col min="3582" max="3582" width="71.42578125" style="2" customWidth="1"/>
    <col min="3583" max="3583" width="12.85546875" style="2" customWidth="1"/>
    <col min="3584" max="3584" width="17.85546875" style="2" customWidth="1"/>
    <col min="3585" max="3585" width="15.140625" style="2" customWidth="1"/>
    <col min="3586" max="3586" width="0" style="2" hidden="1" customWidth="1"/>
    <col min="3587" max="3587" width="18.42578125" style="2" customWidth="1"/>
    <col min="3588" max="3591" width="0" style="2" hidden="1" customWidth="1"/>
    <col min="3592" max="3592" width="13.42578125" style="2" customWidth="1"/>
    <col min="3593" max="3593" width="12.42578125" style="2" bestFit="1" customWidth="1"/>
    <col min="3594" max="3600" width="0" style="2" hidden="1" customWidth="1"/>
    <col min="3601" max="3836" width="9.140625" style="2"/>
    <col min="3837" max="3837" width="13" style="2" customWidth="1"/>
    <col min="3838" max="3838" width="71.42578125" style="2" customWidth="1"/>
    <col min="3839" max="3839" width="12.85546875" style="2" customWidth="1"/>
    <col min="3840" max="3840" width="17.85546875" style="2" customWidth="1"/>
    <col min="3841" max="3841" width="15.140625" style="2" customWidth="1"/>
    <col min="3842" max="3842" width="0" style="2" hidden="1" customWidth="1"/>
    <col min="3843" max="3843" width="18.42578125" style="2" customWidth="1"/>
    <col min="3844" max="3847" width="0" style="2" hidden="1" customWidth="1"/>
    <col min="3848" max="3848" width="13.42578125" style="2" customWidth="1"/>
    <col min="3849" max="3849" width="12.42578125" style="2" bestFit="1" customWidth="1"/>
    <col min="3850" max="3856" width="0" style="2" hidden="1" customWidth="1"/>
    <col min="3857" max="4092" width="9.140625" style="2"/>
    <col min="4093" max="4093" width="13" style="2" customWidth="1"/>
    <col min="4094" max="4094" width="71.42578125" style="2" customWidth="1"/>
    <col min="4095" max="4095" width="12.85546875" style="2" customWidth="1"/>
    <col min="4096" max="4096" width="17.85546875" style="2" customWidth="1"/>
    <col min="4097" max="4097" width="15.140625" style="2" customWidth="1"/>
    <col min="4098" max="4098" width="0" style="2" hidden="1" customWidth="1"/>
    <col min="4099" max="4099" width="18.42578125" style="2" customWidth="1"/>
    <col min="4100" max="4103" width="0" style="2" hidden="1" customWidth="1"/>
    <col min="4104" max="4104" width="13.42578125" style="2" customWidth="1"/>
    <col min="4105" max="4105" width="12.42578125" style="2" bestFit="1" customWidth="1"/>
    <col min="4106" max="4112" width="0" style="2" hidden="1" customWidth="1"/>
    <col min="4113" max="4348" width="9.140625" style="2"/>
    <col min="4349" max="4349" width="13" style="2" customWidth="1"/>
    <col min="4350" max="4350" width="71.42578125" style="2" customWidth="1"/>
    <col min="4351" max="4351" width="12.85546875" style="2" customWidth="1"/>
    <col min="4352" max="4352" width="17.85546875" style="2" customWidth="1"/>
    <col min="4353" max="4353" width="15.140625" style="2" customWidth="1"/>
    <col min="4354" max="4354" width="0" style="2" hidden="1" customWidth="1"/>
    <col min="4355" max="4355" width="18.42578125" style="2" customWidth="1"/>
    <col min="4356" max="4359" width="0" style="2" hidden="1" customWidth="1"/>
    <col min="4360" max="4360" width="13.42578125" style="2" customWidth="1"/>
    <col min="4361" max="4361" width="12.42578125" style="2" bestFit="1" customWidth="1"/>
    <col min="4362" max="4368" width="0" style="2" hidden="1" customWidth="1"/>
    <col min="4369" max="4604" width="9.140625" style="2"/>
    <col min="4605" max="4605" width="13" style="2" customWidth="1"/>
    <col min="4606" max="4606" width="71.42578125" style="2" customWidth="1"/>
    <col min="4607" max="4607" width="12.85546875" style="2" customWidth="1"/>
    <col min="4608" max="4608" width="17.85546875" style="2" customWidth="1"/>
    <col min="4609" max="4609" width="15.140625" style="2" customWidth="1"/>
    <col min="4610" max="4610" width="0" style="2" hidden="1" customWidth="1"/>
    <col min="4611" max="4611" width="18.42578125" style="2" customWidth="1"/>
    <col min="4612" max="4615" width="0" style="2" hidden="1" customWidth="1"/>
    <col min="4616" max="4616" width="13.42578125" style="2" customWidth="1"/>
    <col min="4617" max="4617" width="12.42578125" style="2" bestFit="1" customWidth="1"/>
    <col min="4618" max="4624" width="0" style="2" hidden="1" customWidth="1"/>
    <col min="4625" max="4860" width="9.140625" style="2"/>
    <col min="4861" max="4861" width="13" style="2" customWidth="1"/>
    <col min="4862" max="4862" width="71.42578125" style="2" customWidth="1"/>
    <col min="4863" max="4863" width="12.85546875" style="2" customWidth="1"/>
    <col min="4864" max="4864" width="17.85546875" style="2" customWidth="1"/>
    <col min="4865" max="4865" width="15.140625" style="2" customWidth="1"/>
    <col min="4866" max="4866" width="0" style="2" hidden="1" customWidth="1"/>
    <col min="4867" max="4867" width="18.42578125" style="2" customWidth="1"/>
    <col min="4868" max="4871" width="0" style="2" hidden="1" customWidth="1"/>
    <col min="4872" max="4872" width="13.42578125" style="2" customWidth="1"/>
    <col min="4873" max="4873" width="12.42578125" style="2" bestFit="1" customWidth="1"/>
    <col min="4874" max="4880" width="0" style="2" hidden="1" customWidth="1"/>
    <col min="4881" max="5116" width="9.140625" style="2"/>
    <col min="5117" max="5117" width="13" style="2" customWidth="1"/>
    <col min="5118" max="5118" width="71.42578125" style="2" customWidth="1"/>
    <col min="5119" max="5119" width="12.85546875" style="2" customWidth="1"/>
    <col min="5120" max="5120" width="17.85546875" style="2" customWidth="1"/>
    <col min="5121" max="5121" width="15.140625" style="2" customWidth="1"/>
    <col min="5122" max="5122" width="0" style="2" hidden="1" customWidth="1"/>
    <col min="5123" max="5123" width="18.42578125" style="2" customWidth="1"/>
    <col min="5124" max="5127" width="0" style="2" hidden="1" customWidth="1"/>
    <col min="5128" max="5128" width="13.42578125" style="2" customWidth="1"/>
    <col min="5129" max="5129" width="12.42578125" style="2" bestFit="1" customWidth="1"/>
    <col min="5130" max="5136" width="0" style="2" hidden="1" customWidth="1"/>
    <col min="5137" max="5372" width="9.140625" style="2"/>
    <col min="5373" max="5373" width="13" style="2" customWidth="1"/>
    <col min="5374" max="5374" width="71.42578125" style="2" customWidth="1"/>
    <col min="5375" max="5375" width="12.85546875" style="2" customWidth="1"/>
    <col min="5376" max="5376" width="17.85546875" style="2" customWidth="1"/>
    <col min="5377" max="5377" width="15.140625" style="2" customWidth="1"/>
    <col min="5378" max="5378" width="0" style="2" hidden="1" customWidth="1"/>
    <col min="5379" max="5379" width="18.42578125" style="2" customWidth="1"/>
    <col min="5380" max="5383" width="0" style="2" hidden="1" customWidth="1"/>
    <col min="5384" max="5384" width="13.42578125" style="2" customWidth="1"/>
    <col min="5385" max="5385" width="12.42578125" style="2" bestFit="1" customWidth="1"/>
    <col min="5386" max="5392" width="0" style="2" hidden="1" customWidth="1"/>
    <col min="5393" max="5628" width="9.140625" style="2"/>
    <col min="5629" max="5629" width="13" style="2" customWidth="1"/>
    <col min="5630" max="5630" width="71.42578125" style="2" customWidth="1"/>
    <col min="5631" max="5631" width="12.85546875" style="2" customWidth="1"/>
    <col min="5632" max="5632" width="17.85546875" style="2" customWidth="1"/>
    <col min="5633" max="5633" width="15.140625" style="2" customWidth="1"/>
    <col min="5634" max="5634" width="0" style="2" hidden="1" customWidth="1"/>
    <col min="5635" max="5635" width="18.42578125" style="2" customWidth="1"/>
    <col min="5636" max="5639" width="0" style="2" hidden="1" customWidth="1"/>
    <col min="5640" max="5640" width="13.42578125" style="2" customWidth="1"/>
    <col min="5641" max="5641" width="12.42578125" style="2" bestFit="1" customWidth="1"/>
    <col min="5642" max="5648" width="0" style="2" hidden="1" customWidth="1"/>
    <col min="5649" max="5884" width="9.140625" style="2"/>
    <col min="5885" max="5885" width="13" style="2" customWidth="1"/>
    <col min="5886" max="5886" width="71.42578125" style="2" customWidth="1"/>
    <col min="5887" max="5887" width="12.85546875" style="2" customWidth="1"/>
    <col min="5888" max="5888" width="17.85546875" style="2" customWidth="1"/>
    <col min="5889" max="5889" width="15.140625" style="2" customWidth="1"/>
    <col min="5890" max="5890" width="0" style="2" hidden="1" customWidth="1"/>
    <col min="5891" max="5891" width="18.42578125" style="2" customWidth="1"/>
    <col min="5892" max="5895" width="0" style="2" hidden="1" customWidth="1"/>
    <col min="5896" max="5896" width="13.42578125" style="2" customWidth="1"/>
    <col min="5897" max="5897" width="12.42578125" style="2" bestFit="1" customWidth="1"/>
    <col min="5898" max="5904" width="0" style="2" hidden="1" customWidth="1"/>
    <col min="5905" max="6140" width="9.140625" style="2"/>
    <col min="6141" max="6141" width="13" style="2" customWidth="1"/>
    <col min="6142" max="6142" width="71.42578125" style="2" customWidth="1"/>
    <col min="6143" max="6143" width="12.85546875" style="2" customWidth="1"/>
    <col min="6144" max="6144" width="17.85546875" style="2" customWidth="1"/>
    <col min="6145" max="6145" width="15.140625" style="2" customWidth="1"/>
    <col min="6146" max="6146" width="0" style="2" hidden="1" customWidth="1"/>
    <col min="6147" max="6147" width="18.42578125" style="2" customWidth="1"/>
    <col min="6148" max="6151" width="0" style="2" hidden="1" customWidth="1"/>
    <col min="6152" max="6152" width="13.42578125" style="2" customWidth="1"/>
    <col min="6153" max="6153" width="12.42578125" style="2" bestFit="1" customWidth="1"/>
    <col min="6154" max="6160" width="0" style="2" hidden="1" customWidth="1"/>
    <col min="6161" max="6396" width="9.140625" style="2"/>
    <col min="6397" max="6397" width="13" style="2" customWidth="1"/>
    <col min="6398" max="6398" width="71.42578125" style="2" customWidth="1"/>
    <col min="6399" max="6399" width="12.85546875" style="2" customWidth="1"/>
    <col min="6400" max="6400" width="17.85546875" style="2" customWidth="1"/>
    <col min="6401" max="6401" width="15.140625" style="2" customWidth="1"/>
    <col min="6402" max="6402" width="0" style="2" hidden="1" customWidth="1"/>
    <col min="6403" max="6403" width="18.42578125" style="2" customWidth="1"/>
    <col min="6404" max="6407" width="0" style="2" hidden="1" customWidth="1"/>
    <col min="6408" max="6408" width="13.42578125" style="2" customWidth="1"/>
    <col min="6409" max="6409" width="12.42578125" style="2" bestFit="1" customWidth="1"/>
    <col min="6410" max="6416" width="0" style="2" hidden="1" customWidth="1"/>
    <col min="6417" max="6652" width="9.140625" style="2"/>
    <col min="6653" max="6653" width="13" style="2" customWidth="1"/>
    <col min="6654" max="6654" width="71.42578125" style="2" customWidth="1"/>
    <col min="6655" max="6655" width="12.85546875" style="2" customWidth="1"/>
    <col min="6656" max="6656" width="17.85546875" style="2" customWidth="1"/>
    <col min="6657" max="6657" width="15.140625" style="2" customWidth="1"/>
    <col min="6658" max="6658" width="0" style="2" hidden="1" customWidth="1"/>
    <col min="6659" max="6659" width="18.42578125" style="2" customWidth="1"/>
    <col min="6660" max="6663" width="0" style="2" hidden="1" customWidth="1"/>
    <col min="6664" max="6664" width="13.42578125" style="2" customWidth="1"/>
    <col min="6665" max="6665" width="12.42578125" style="2" bestFit="1" customWidth="1"/>
    <col min="6666" max="6672" width="0" style="2" hidden="1" customWidth="1"/>
    <col min="6673" max="6908" width="9.140625" style="2"/>
    <col min="6909" max="6909" width="13" style="2" customWidth="1"/>
    <col min="6910" max="6910" width="71.42578125" style="2" customWidth="1"/>
    <col min="6911" max="6911" width="12.85546875" style="2" customWidth="1"/>
    <col min="6912" max="6912" width="17.85546875" style="2" customWidth="1"/>
    <col min="6913" max="6913" width="15.140625" style="2" customWidth="1"/>
    <col min="6914" max="6914" width="0" style="2" hidden="1" customWidth="1"/>
    <col min="6915" max="6915" width="18.42578125" style="2" customWidth="1"/>
    <col min="6916" max="6919" width="0" style="2" hidden="1" customWidth="1"/>
    <col min="6920" max="6920" width="13.42578125" style="2" customWidth="1"/>
    <col min="6921" max="6921" width="12.42578125" style="2" bestFit="1" customWidth="1"/>
    <col min="6922" max="6928" width="0" style="2" hidden="1" customWidth="1"/>
    <col min="6929" max="7164" width="9.140625" style="2"/>
    <col min="7165" max="7165" width="13" style="2" customWidth="1"/>
    <col min="7166" max="7166" width="71.42578125" style="2" customWidth="1"/>
    <col min="7167" max="7167" width="12.85546875" style="2" customWidth="1"/>
    <col min="7168" max="7168" width="17.85546875" style="2" customWidth="1"/>
    <col min="7169" max="7169" width="15.140625" style="2" customWidth="1"/>
    <col min="7170" max="7170" width="0" style="2" hidden="1" customWidth="1"/>
    <col min="7171" max="7171" width="18.42578125" style="2" customWidth="1"/>
    <col min="7172" max="7175" width="0" style="2" hidden="1" customWidth="1"/>
    <col min="7176" max="7176" width="13.42578125" style="2" customWidth="1"/>
    <col min="7177" max="7177" width="12.42578125" style="2" bestFit="1" customWidth="1"/>
    <col min="7178" max="7184" width="0" style="2" hidden="1" customWidth="1"/>
    <col min="7185" max="7420" width="9.140625" style="2"/>
    <col min="7421" max="7421" width="13" style="2" customWidth="1"/>
    <col min="7422" max="7422" width="71.42578125" style="2" customWidth="1"/>
    <col min="7423" max="7423" width="12.85546875" style="2" customWidth="1"/>
    <col min="7424" max="7424" width="17.85546875" style="2" customWidth="1"/>
    <col min="7425" max="7425" width="15.140625" style="2" customWidth="1"/>
    <col min="7426" max="7426" width="0" style="2" hidden="1" customWidth="1"/>
    <col min="7427" max="7427" width="18.42578125" style="2" customWidth="1"/>
    <col min="7428" max="7431" width="0" style="2" hidden="1" customWidth="1"/>
    <col min="7432" max="7432" width="13.42578125" style="2" customWidth="1"/>
    <col min="7433" max="7433" width="12.42578125" style="2" bestFit="1" customWidth="1"/>
    <col min="7434" max="7440" width="0" style="2" hidden="1" customWidth="1"/>
    <col min="7441" max="7676" width="9.140625" style="2"/>
    <col min="7677" max="7677" width="13" style="2" customWidth="1"/>
    <col min="7678" max="7678" width="71.42578125" style="2" customWidth="1"/>
    <col min="7679" max="7679" width="12.85546875" style="2" customWidth="1"/>
    <col min="7680" max="7680" width="17.85546875" style="2" customWidth="1"/>
    <col min="7681" max="7681" width="15.140625" style="2" customWidth="1"/>
    <col min="7682" max="7682" width="0" style="2" hidden="1" customWidth="1"/>
    <col min="7683" max="7683" width="18.42578125" style="2" customWidth="1"/>
    <col min="7684" max="7687" width="0" style="2" hidden="1" customWidth="1"/>
    <col min="7688" max="7688" width="13.42578125" style="2" customWidth="1"/>
    <col min="7689" max="7689" width="12.42578125" style="2" bestFit="1" customWidth="1"/>
    <col min="7690" max="7696" width="0" style="2" hidden="1" customWidth="1"/>
    <col min="7697" max="7932" width="9.140625" style="2"/>
    <col min="7933" max="7933" width="13" style="2" customWidth="1"/>
    <col min="7934" max="7934" width="71.42578125" style="2" customWidth="1"/>
    <col min="7935" max="7935" width="12.85546875" style="2" customWidth="1"/>
    <col min="7936" max="7936" width="17.85546875" style="2" customWidth="1"/>
    <col min="7937" max="7937" width="15.140625" style="2" customWidth="1"/>
    <col min="7938" max="7938" width="0" style="2" hidden="1" customWidth="1"/>
    <col min="7939" max="7939" width="18.42578125" style="2" customWidth="1"/>
    <col min="7940" max="7943" width="0" style="2" hidden="1" customWidth="1"/>
    <col min="7944" max="7944" width="13.42578125" style="2" customWidth="1"/>
    <col min="7945" max="7945" width="12.42578125" style="2" bestFit="1" customWidth="1"/>
    <col min="7946" max="7952" width="0" style="2" hidden="1" customWidth="1"/>
    <col min="7953" max="8188" width="9.140625" style="2"/>
    <col min="8189" max="8189" width="13" style="2" customWidth="1"/>
    <col min="8190" max="8190" width="71.42578125" style="2" customWidth="1"/>
    <col min="8191" max="8191" width="12.85546875" style="2" customWidth="1"/>
    <col min="8192" max="8192" width="17.85546875" style="2" customWidth="1"/>
    <col min="8193" max="8193" width="15.140625" style="2" customWidth="1"/>
    <col min="8194" max="8194" width="0" style="2" hidden="1" customWidth="1"/>
    <col min="8195" max="8195" width="18.42578125" style="2" customWidth="1"/>
    <col min="8196" max="8199" width="0" style="2" hidden="1" customWidth="1"/>
    <col min="8200" max="8200" width="13.42578125" style="2" customWidth="1"/>
    <col min="8201" max="8201" width="12.42578125" style="2" bestFit="1" customWidth="1"/>
    <col min="8202" max="8208" width="0" style="2" hidden="1" customWidth="1"/>
    <col min="8209" max="8444" width="9.140625" style="2"/>
    <col min="8445" max="8445" width="13" style="2" customWidth="1"/>
    <col min="8446" max="8446" width="71.42578125" style="2" customWidth="1"/>
    <col min="8447" max="8447" width="12.85546875" style="2" customWidth="1"/>
    <col min="8448" max="8448" width="17.85546875" style="2" customWidth="1"/>
    <col min="8449" max="8449" width="15.140625" style="2" customWidth="1"/>
    <col min="8450" max="8450" width="0" style="2" hidden="1" customWidth="1"/>
    <col min="8451" max="8451" width="18.42578125" style="2" customWidth="1"/>
    <col min="8452" max="8455" width="0" style="2" hidden="1" customWidth="1"/>
    <col min="8456" max="8456" width="13.42578125" style="2" customWidth="1"/>
    <col min="8457" max="8457" width="12.42578125" style="2" bestFit="1" customWidth="1"/>
    <col min="8458" max="8464" width="0" style="2" hidden="1" customWidth="1"/>
    <col min="8465" max="8700" width="9.140625" style="2"/>
    <col min="8701" max="8701" width="13" style="2" customWidth="1"/>
    <col min="8702" max="8702" width="71.42578125" style="2" customWidth="1"/>
    <col min="8703" max="8703" width="12.85546875" style="2" customWidth="1"/>
    <col min="8704" max="8704" width="17.85546875" style="2" customWidth="1"/>
    <col min="8705" max="8705" width="15.140625" style="2" customWidth="1"/>
    <col min="8706" max="8706" width="0" style="2" hidden="1" customWidth="1"/>
    <col min="8707" max="8707" width="18.42578125" style="2" customWidth="1"/>
    <col min="8708" max="8711" width="0" style="2" hidden="1" customWidth="1"/>
    <col min="8712" max="8712" width="13.42578125" style="2" customWidth="1"/>
    <col min="8713" max="8713" width="12.42578125" style="2" bestFit="1" customWidth="1"/>
    <col min="8714" max="8720" width="0" style="2" hidden="1" customWidth="1"/>
    <col min="8721" max="8956" width="9.140625" style="2"/>
    <col min="8957" max="8957" width="13" style="2" customWidth="1"/>
    <col min="8958" max="8958" width="71.42578125" style="2" customWidth="1"/>
    <col min="8959" max="8959" width="12.85546875" style="2" customWidth="1"/>
    <col min="8960" max="8960" width="17.85546875" style="2" customWidth="1"/>
    <col min="8961" max="8961" width="15.140625" style="2" customWidth="1"/>
    <col min="8962" max="8962" width="0" style="2" hidden="1" customWidth="1"/>
    <col min="8963" max="8963" width="18.42578125" style="2" customWidth="1"/>
    <col min="8964" max="8967" width="0" style="2" hidden="1" customWidth="1"/>
    <col min="8968" max="8968" width="13.42578125" style="2" customWidth="1"/>
    <col min="8969" max="8969" width="12.42578125" style="2" bestFit="1" customWidth="1"/>
    <col min="8970" max="8976" width="0" style="2" hidden="1" customWidth="1"/>
    <col min="8977" max="9212" width="9.140625" style="2"/>
    <col min="9213" max="9213" width="13" style="2" customWidth="1"/>
    <col min="9214" max="9214" width="71.42578125" style="2" customWidth="1"/>
    <col min="9215" max="9215" width="12.85546875" style="2" customWidth="1"/>
    <col min="9216" max="9216" width="17.85546875" style="2" customWidth="1"/>
    <col min="9217" max="9217" width="15.140625" style="2" customWidth="1"/>
    <col min="9218" max="9218" width="0" style="2" hidden="1" customWidth="1"/>
    <col min="9219" max="9219" width="18.42578125" style="2" customWidth="1"/>
    <col min="9220" max="9223" width="0" style="2" hidden="1" customWidth="1"/>
    <col min="9224" max="9224" width="13.42578125" style="2" customWidth="1"/>
    <col min="9225" max="9225" width="12.42578125" style="2" bestFit="1" customWidth="1"/>
    <col min="9226" max="9232" width="0" style="2" hidden="1" customWidth="1"/>
    <col min="9233" max="9468" width="9.140625" style="2"/>
    <col min="9469" max="9469" width="13" style="2" customWidth="1"/>
    <col min="9470" max="9470" width="71.42578125" style="2" customWidth="1"/>
    <col min="9471" max="9471" width="12.85546875" style="2" customWidth="1"/>
    <col min="9472" max="9472" width="17.85546875" style="2" customWidth="1"/>
    <col min="9473" max="9473" width="15.140625" style="2" customWidth="1"/>
    <col min="9474" max="9474" width="0" style="2" hidden="1" customWidth="1"/>
    <col min="9475" max="9475" width="18.42578125" style="2" customWidth="1"/>
    <col min="9476" max="9479" width="0" style="2" hidden="1" customWidth="1"/>
    <col min="9480" max="9480" width="13.42578125" style="2" customWidth="1"/>
    <col min="9481" max="9481" width="12.42578125" style="2" bestFit="1" customWidth="1"/>
    <col min="9482" max="9488" width="0" style="2" hidden="1" customWidth="1"/>
    <col min="9489" max="9724" width="9.140625" style="2"/>
    <col min="9725" max="9725" width="13" style="2" customWidth="1"/>
    <col min="9726" max="9726" width="71.42578125" style="2" customWidth="1"/>
    <col min="9727" max="9727" width="12.85546875" style="2" customWidth="1"/>
    <col min="9728" max="9728" width="17.85546875" style="2" customWidth="1"/>
    <col min="9729" max="9729" width="15.140625" style="2" customWidth="1"/>
    <col min="9730" max="9730" width="0" style="2" hidden="1" customWidth="1"/>
    <col min="9731" max="9731" width="18.42578125" style="2" customWidth="1"/>
    <col min="9732" max="9735" width="0" style="2" hidden="1" customWidth="1"/>
    <col min="9736" max="9736" width="13.42578125" style="2" customWidth="1"/>
    <col min="9737" max="9737" width="12.42578125" style="2" bestFit="1" customWidth="1"/>
    <col min="9738" max="9744" width="0" style="2" hidden="1" customWidth="1"/>
    <col min="9745" max="9980" width="9.140625" style="2"/>
    <col min="9981" max="9981" width="13" style="2" customWidth="1"/>
    <col min="9982" max="9982" width="71.42578125" style="2" customWidth="1"/>
    <col min="9983" max="9983" width="12.85546875" style="2" customWidth="1"/>
    <col min="9984" max="9984" width="17.85546875" style="2" customWidth="1"/>
    <col min="9985" max="9985" width="15.140625" style="2" customWidth="1"/>
    <col min="9986" max="9986" width="0" style="2" hidden="1" customWidth="1"/>
    <col min="9987" max="9987" width="18.42578125" style="2" customWidth="1"/>
    <col min="9988" max="9991" width="0" style="2" hidden="1" customWidth="1"/>
    <col min="9992" max="9992" width="13.42578125" style="2" customWidth="1"/>
    <col min="9993" max="9993" width="12.42578125" style="2" bestFit="1" customWidth="1"/>
    <col min="9994" max="10000" width="0" style="2" hidden="1" customWidth="1"/>
    <col min="10001" max="10236" width="9.140625" style="2"/>
    <col min="10237" max="10237" width="13" style="2" customWidth="1"/>
    <col min="10238" max="10238" width="71.42578125" style="2" customWidth="1"/>
    <col min="10239" max="10239" width="12.85546875" style="2" customWidth="1"/>
    <col min="10240" max="10240" width="17.85546875" style="2" customWidth="1"/>
    <col min="10241" max="10241" width="15.140625" style="2" customWidth="1"/>
    <col min="10242" max="10242" width="0" style="2" hidden="1" customWidth="1"/>
    <col min="10243" max="10243" width="18.42578125" style="2" customWidth="1"/>
    <col min="10244" max="10247" width="0" style="2" hidden="1" customWidth="1"/>
    <col min="10248" max="10248" width="13.42578125" style="2" customWidth="1"/>
    <col min="10249" max="10249" width="12.42578125" style="2" bestFit="1" customWidth="1"/>
    <col min="10250" max="10256" width="0" style="2" hidden="1" customWidth="1"/>
    <col min="10257" max="10492" width="9.140625" style="2"/>
    <col min="10493" max="10493" width="13" style="2" customWidth="1"/>
    <col min="10494" max="10494" width="71.42578125" style="2" customWidth="1"/>
    <col min="10495" max="10495" width="12.85546875" style="2" customWidth="1"/>
    <col min="10496" max="10496" width="17.85546875" style="2" customWidth="1"/>
    <col min="10497" max="10497" width="15.140625" style="2" customWidth="1"/>
    <col min="10498" max="10498" width="0" style="2" hidden="1" customWidth="1"/>
    <col min="10499" max="10499" width="18.42578125" style="2" customWidth="1"/>
    <col min="10500" max="10503" width="0" style="2" hidden="1" customWidth="1"/>
    <col min="10504" max="10504" width="13.42578125" style="2" customWidth="1"/>
    <col min="10505" max="10505" width="12.42578125" style="2" bestFit="1" customWidth="1"/>
    <col min="10506" max="10512" width="0" style="2" hidden="1" customWidth="1"/>
    <col min="10513" max="10748" width="9.140625" style="2"/>
    <col min="10749" max="10749" width="13" style="2" customWidth="1"/>
    <col min="10750" max="10750" width="71.42578125" style="2" customWidth="1"/>
    <col min="10751" max="10751" width="12.85546875" style="2" customWidth="1"/>
    <col min="10752" max="10752" width="17.85546875" style="2" customWidth="1"/>
    <col min="10753" max="10753" width="15.140625" style="2" customWidth="1"/>
    <col min="10754" max="10754" width="0" style="2" hidden="1" customWidth="1"/>
    <col min="10755" max="10755" width="18.42578125" style="2" customWidth="1"/>
    <col min="10756" max="10759" width="0" style="2" hidden="1" customWidth="1"/>
    <col min="10760" max="10760" width="13.42578125" style="2" customWidth="1"/>
    <col min="10761" max="10761" width="12.42578125" style="2" bestFit="1" customWidth="1"/>
    <col min="10762" max="10768" width="0" style="2" hidden="1" customWidth="1"/>
    <col min="10769" max="11004" width="9.140625" style="2"/>
    <col min="11005" max="11005" width="13" style="2" customWidth="1"/>
    <col min="11006" max="11006" width="71.42578125" style="2" customWidth="1"/>
    <col min="11007" max="11007" width="12.85546875" style="2" customWidth="1"/>
    <col min="11008" max="11008" width="17.85546875" style="2" customWidth="1"/>
    <col min="11009" max="11009" width="15.140625" style="2" customWidth="1"/>
    <col min="11010" max="11010" width="0" style="2" hidden="1" customWidth="1"/>
    <col min="11011" max="11011" width="18.42578125" style="2" customWidth="1"/>
    <col min="11012" max="11015" width="0" style="2" hidden="1" customWidth="1"/>
    <col min="11016" max="11016" width="13.42578125" style="2" customWidth="1"/>
    <col min="11017" max="11017" width="12.42578125" style="2" bestFit="1" customWidth="1"/>
    <col min="11018" max="11024" width="0" style="2" hidden="1" customWidth="1"/>
    <col min="11025" max="11260" width="9.140625" style="2"/>
    <col min="11261" max="11261" width="13" style="2" customWidth="1"/>
    <col min="11262" max="11262" width="71.42578125" style="2" customWidth="1"/>
    <col min="11263" max="11263" width="12.85546875" style="2" customWidth="1"/>
    <col min="11264" max="11264" width="17.85546875" style="2" customWidth="1"/>
    <col min="11265" max="11265" width="15.140625" style="2" customWidth="1"/>
    <col min="11266" max="11266" width="0" style="2" hidden="1" customWidth="1"/>
    <col min="11267" max="11267" width="18.42578125" style="2" customWidth="1"/>
    <col min="11268" max="11271" width="0" style="2" hidden="1" customWidth="1"/>
    <col min="11272" max="11272" width="13.42578125" style="2" customWidth="1"/>
    <col min="11273" max="11273" width="12.42578125" style="2" bestFit="1" customWidth="1"/>
    <col min="11274" max="11280" width="0" style="2" hidden="1" customWidth="1"/>
    <col min="11281" max="11516" width="9.140625" style="2"/>
    <col min="11517" max="11517" width="13" style="2" customWidth="1"/>
    <col min="11518" max="11518" width="71.42578125" style="2" customWidth="1"/>
    <col min="11519" max="11519" width="12.85546875" style="2" customWidth="1"/>
    <col min="11520" max="11520" width="17.85546875" style="2" customWidth="1"/>
    <col min="11521" max="11521" width="15.140625" style="2" customWidth="1"/>
    <col min="11522" max="11522" width="0" style="2" hidden="1" customWidth="1"/>
    <col min="11523" max="11523" width="18.42578125" style="2" customWidth="1"/>
    <col min="11524" max="11527" width="0" style="2" hidden="1" customWidth="1"/>
    <col min="11528" max="11528" width="13.42578125" style="2" customWidth="1"/>
    <col min="11529" max="11529" width="12.42578125" style="2" bestFit="1" customWidth="1"/>
    <col min="11530" max="11536" width="0" style="2" hidden="1" customWidth="1"/>
    <col min="11537" max="11772" width="9.140625" style="2"/>
    <col min="11773" max="11773" width="13" style="2" customWidth="1"/>
    <col min="11774" max="11774" width="71.42578125" style="2" customWidth="1"/>
    <col min="11775" max="11775" width="12.85546875" style="2" customWidth="1"/>
    <col min="11776" max="11776" width="17.85546875" style="2" customWidth="1"/>
    <col min="11777" max="11777" width="15.140625" style="2" customWidth="1"/>
    <col min="11778" max="11778" width="0" style="2" hidden="1" customWidth="1"/>
    <col min="11779" max="11779" width="18.42578125" style="2" customWidth="1"/>
    <col min="11780" max="11783" width="0" style="2" hidden="1" customWidth="1"/>
    <col min="11784" max="11784" width="13.42578125" style="2" customWidth="1"/>
    <col min="11785" max="11785" width="12.42578125" style="2" bestFit="1" customWidth="1"/>
    <col min="11786" max="11792" width="0" style="2" hidden="1" customWidth="1"/>
    <col min="11793" max="12028" width="9.140625" style="2"/>
    <col min="12029" max="12029" width="13" style="2" customWidth="1"/>
    <col min="12030" max="12030" width="71.42578125" style="2" customWidth="1"/>
    <col min="12031" max="12031" width="12.85546875" style="2" customWidth="1"/>
    <col min="12032" max="12032" width="17.85546875" style="2" customWidth="1"/>
    <col min="12033" max="12033" width="15.140625" style="2" customWidth="1"/>
    <col min="12034" max="12034" width="0" style="2" hidden="1" customWidth="1"/>
    <col min="12035" max="12035" width="18.42578125" style="2" customWidth="1"/>
    <col min="12036" max="12039" width="0" style="2" hidden="1" customWidth="1"/>
    <col min="12040" max="12040" width="13.42578125" style="2" customWidth="1"/>
    <col min="12041" max="12041" width="12.42578125" style="2" bestFit="1" customWidth="1"/>
    <col min="12042" max="12048" width="0" style="2" hidden="1" customWidth="1"/>
    <col min="12049" max="12284" width="9.140625" style="2"/>
    <col min="12285" max="12285" width="13" style="2" customWidth="1"/>
    <col min="12286" max="12286" width="71.42578125" style="2" customWidth="1"/>
    <col min="12287" max="12287" width="12.85546875" style="2" customWidth="1"/>
    <col min="12288" max="12288" width="17.85546875" style="2" customWidth="1"/>
    <col min="12289" max="12289" width="15.140625" style="2" customWidth="1"/>
    <col min="12290" max="12290" width="0" style="2" hidden="1" customWidth="1"/>
    <col min="12291" max="12291" width="18.42578125" style="2" customWidth="1"/>
    <col min="12292" max="12295" width="0" style="2" hidden="1" customWidth="1"/>
    <col min="12296" max="12296" width="13.42578125" style="2" customWidth="1"/>
    <col min="12297" max="12297" width="12.42578125" style="2" bestFit="1" customWidth="1"/>
    <col min="12298" max="12304" width="0" style="2" hidden="1" customWidth="1"/>
    <col min="12305" max="12540" width="9.140625" style="2"/>
    <col min="12541" max="12541" width="13" style="2" customWidth="1"/>
    <col min="12542" max="12542" width="71.42578125" style="2" customWidth="1"/>
    <col min="12543" max="12543" width="12.85546875" style="2" customWidth="1"/>
    <col min="12544" max="12544" width="17.85546875" style="2" customWidth="1"/>
    <col min="12545" max="12545" width="15.140625" style="2" customWidth="1"/>
    <col min="12546" max="12546" width="0" style="2" hidden="1" customWidth="1"/>
    <col min="12547" max="12547" width="18.42578125" style="2" customWidth="1"/>
    <col min="12548" max="12551" width="0" style="2" hidden="1" customWidth="1"/>
    <col min="12552" max="12552" width="13.42578125" style="2" customWidth="1"/>
    <col min="12553" max="12553" width="12.42578125" style="2" bestFit="1" customWidth="1"/>
    <col min="12554" max="12560" width="0" style="2" hidden="1" customWidth="1"/>
    <col min="12561" max="12796" width="9.140625" style="2"/>
    <col min="12797" max="12797" width="13" style="2" customWidth="1"/>
    <col min="12798" max="12798" width="71.42578125" style="2" customWidth="1"/>
    <col min="12799" max="12799" width="12.85546875" style="2" customWidth="1"/>
    <col min="12800" max="12800" width="17.85546875" style="2" customWidth="1"/>
    <col min="12801" max="12801" width="15.140625" style="2" customWidth="1"/>
    <col min="12802" max="12802" width="0" style="2" hidden="1" customWidth="1"/>
    <col min="12803" max="12803" width="18.42578125" style="2" customWidth="1"/>
    <col min="12804" max="12807" width="0" style="2" hidden="1" customWidth="1"/>
    <col min="12808" max="12808" width="13.42578125" style="2" customWidth="1"/>
    <col min="12809" max="12809" width="12.42578125" style="2" bestFit="1" customWidth="1"/>
    <col min="12810" max="12816" width="0" style="2" hidden="1" customWidth="1"/>
    <col min="12817" max="13052" width="9.140625" style="2"/>
    <col min="13053" max="13053" width="13" style="2" customWidth="1"/>
    <col min="13054" max="13054" width="71.42578125" style="2" customWidth="1"/>
    <col min="13055" max="13055" width="12.85546875" style="2" customWidth="1"/>
    <col min="13056" max="13056" width="17.85546875" style="2" customWidth="1"/>
    <col min="13057" max="13057" width="15.140625" style="2" customWidth="1"/>
    <col min="13058" max="13058" width="0" style="2" hidden="1" customWidth="1"/>
    <col min="13059" max="13059" width="18.42578125" style="2" customWidth="1"/>
    <col min="13060" max="13063" width="0" style="2" hidden="1" customWidth="1"/>
    <col min="13064" max="13064" width="13.42578125" style="2" customWidth="1"/>
    <col min="13065" max="13065" width="12.42578125" style="2" bestFit="1" customWidth="1"/>
    <col min="13066" max="13072" width="0" style="2" hidden="1" customWidth="1"/>
    <col min="13073" max="13308" width="9.140625" style="2"/>
    <col min="13309" max="13309" width="13" style="2" customWidth="1"/>
    <col min="13310" max="13310" width="71.42578125" style="2" customWidth="1"/>
    <col min="13311" max="13311" width="12.85546875" style="2" customWidth="1"/>
    <col min="13312" max="13312" width="17.85546875" style="2" customWidth="1"/>
    <col min="13313" max="13313" width="15.140625" style="2" customWidth="1"/>
    <col min="13314" max="13314" width="0" style="2" hidden="1" customWidth="1"/>
    <col min="13315" max="13315" width="18.42578125" style="2" customWidth="1"/>
    <col min="13316" max="13319" width="0" style="2" hidden="1" customWidth="1"/>
    <col min="13320" max="13320" width="13.42578125" style="2" customWidth="1"/>
    <col min="13321" max="13321" width="12.42578125" style="2" bestFit="1" customWidth="1"/>
    <col min="13322" max="13328" width="0" style="2" hidden="1" customWidth="1"/>
    <col min="13329" max="13564" width="9.140625" style="2"/>
    <col min="13565" max="13565" width="13" style="2" customWidth="1"/>
    <col min="13566" max="13566" width="71.42578125" style="2" customWidth="1"/>
    <col min="13567" max="13567" width="12.85546875" style="2" customWidth="1"/>
    <col min="13568" max="13568" width="17.85546875" style="2" customWidth="1"/>
    <col min="13569" max="13569" width="15.140625" style="2" customWidth="1"/>
    <col min="13570" max="13570" width="0" style="2" hidden="1" customWidth="1"/>
    <col min="13571" max="13571" width="18.42578125" style="2" customWidth="1"/>
    <col min="13572" max="13575" width="0" style="2" hidden="1" customWidth="1"/>
    <col min="13576" max="13576" width="13.42578125" style="2" customWidth="1"/>
    <col min="13577" max="13577" width="12.42578125" style="2" bestFit="1" customWidth="1"/>
    <col min="13578" max="13584" width="0" style="2" hidden="1" customWidth="1"/>
    <col min="13585" max="13820" width="9.140625" style="2"/>
    <col min="13821" max="13821" width="13" style="2" customWidth="1"/>
    <col min="13822" max="13822" width="71.42578125" style="2" customWidth="1"/>
    <col min="13823" max="13823" width="12.85546875" style="2" customWidth="1"/>
    <col min="13824" max="13824" width="17.85546875" style="2" customWidth="1"/>
    <col min="13825" max="13825" width="15.140625" style="2" customWidth="1"/>
    <col min="13826" max="13826" width="0" style="2" hidden="1" customWidth="1"/>
    <col min="13827" max="13827" width="18.42578125" style="2" customWidth="1"/>
    <col min="13828" max="13831" width="0" style="2" hidden="1" customWidth="1"/>
    <col min="13832" max="13832" width="13.42578125" style="2" customWidth="1"/>
    <col min="13833" max="13833" width="12.42578125" style="2" bestFit="1" customWidth="1"/>
    <col min="13834" max="13840" width="0" style="2" hidden="1" customWidth="1"/>
    <col min="13841" max="14076" width="9.140625" style="2"/>
    <col min="14077" max="14077" width="13" style="2" customWidth="1"/>
    <col min="14078" max="14078" width="71.42578125" style="2" customWidth="1"/>
    <col min="14079" max="14079" width="12.85546875" style="2" customWidth="1"/>
    <col min="14080" max="14080" width="17.85546875" style="2" customWidth="1"/>
    <col min="14081" max="14081" width="15.140625" style="2" customWidth="1"/>
    <col min="14082" max="14082" width="0" style="2" hidden="1" customWidth="1"/>
    <col min="14083" max="14083" width="18.42578125" style="2" customWidth="1"/>
    <col min="14084" max="14087" width="0" style="2" hidden="1" customWidth="1"/>
    <col min="14088" max="14088" width="13.42578125" style="2" customWidth="1"/>
    <col min="14089" max="14089" width="12.42578125" style="2" bestFit="1" customWidth="1"/>
    <col min="14090" max="14096" width="0" style="2" hidden="1" customWidth="1"/>
    <col min="14097" max="14332" width="9.140625" style="2"/>
    <col min="14333" max="14333" width="13" style="2" customWidth="1"/>
    <col min="14334" max="14334" width="71.42578125" style="2" customWidth="1"/>
    <col min="14335" max="14335" width="12.85546875" style="2" customWidth="1"/>
    <col min="14336" max="14336" width="17.85546875" style="2" customWidth="1"/>
    <col min="14337" max="14337" width="15.140625" style="2" customWidth="1"/>
    <col min="14338" max="14338" width="0" style="2" hidden="1" customWidth="1"/>
    <col min="14339" max="14339" width="18.42578125" style="2" customWidth="1"/>
    <col min="14340" max="14343" width="0" style="2" hidden="1" customWidth="1"/>
    <col min="14344" max="14344" width="13.42578125" style="2" customWidth="1"/>
    <col min="14345" max="14345" width="12.42578125" style="2" bestFit="1" customWidth="1"/>
    <col min="14346" max="14352" width="0" style="2" hidden="1" customWidth="1"/>
    <col min="14353" max="14588" width="9.140625" style="2"/>
    <col min="14589" max="14589" width="13" style="2" customWidth="1"/>
    <col min="14590" max="14590" width="71.42578125" style="2" customWidth="1"/>
    <col min="14591" max="14591" width="12.85546875" style="2" customWidth="1"/>
    <col min="14592" max="14592" width="17.85546875" style="2" customWidth="1"/>
    <col min="14593" max="14593" width="15.140625" style="2" customWidth="1"/>
    <col min="14594" max="14594" width="0" style="2" hidden="1" customWidth="1"/>
    <col min="14595" max="14595" width="18.42578125" style="2" customWidth="1"/>
    <col min="14596" max="14599" width="0" style="2" hidden="1" customWidth="1"/>
    <col min="14600" max="14600" width="13.42578125" style="2" customWidth="1"/>
    <col min="14601" max="14601" width="12.42578125" style="2" bestFit="1" customWidth="1"/>
    <col min="14602" max="14608" width="0" style="2" hidden="1" customWidth="1"/>
    <col min="14609" max="14844" width="9.140625" style="2"/>
    <col min="14845" max="14845" width="13" style="2" customWidth="1"/>
    <col min="14846" max="14846" width="71.42578125" style="2" customWidth="1"/>
    <col min="14847" max="14847" width="12.85546875" style="2" customWidth="1"/>
    <col min="14848" max="14848" width="17.85546875" style="2" customWidth="1"/>
    <col min="14849" max="14849" width="15.140625" style="2" customWidth="1"/>
    <col min="14850" max="14850" width="0" style="2" hidden="1" customWidth="1"/>
    <col min="14851" max="14851" width="18.42578125" style="2" customWidth="1"/>
    <col min="14852" max="14855" width="0" style="2" hidden="1" customWidth="1"/>
    <col min="14856" max="14856" width="13.42578125" style="2" customWidth="1"/>
    <col min="14857" max="14857" width="12.42578125" style="2" bestFit="1" customWidth="1"/>
    <col min="14858" max="14864" width="0" style="2" hidden="1" customWidth="1"/>
    <col min="14865" max="15100" width="9.140625" style="2"/>
    <col min="15101" max="15101" width="13" style="2" customWidth="1"/>
    <col min="15102" max="15102" width="71.42578125" style="2" customWidth="1"/>
    <col min="15103" max="15103" width="12.85546875" style="2" customWidth="1"/>
    <col min="15104" max="15104" width="17.85546875" style="2" customWidth="1"/>
    <col min="15105" max="15105" width="15.140625" style="2" customWidth="1"/>
    <col min="15106" max="15106" width="0" style="2" hidden="1" customWidth="1"/>
    <col min="15107" max="15107" width="18.42578125" style="2" customWidth="1"/>
    <col min="15108" max="15111" width="0" style="2" hidden="1" customWidth="1"/>
    <col min="15112" max="15112" width="13.42578125" style="2" customWidth="1"/>
    <col min="15113" max="15113" width="12.42578125" style="2" bestFit="1" customWidth="1"/>
    <col min="15114" max="15120" width="0" style="2" hidden="1" customWidth="1"/>
    <col min="15121" max="15356" width="9.140625" style="2"/>
    <col min="15357" max="15357" width="13" style="2" customWidth="1"/>
    <col min="15358" max="15358" width="71.42578125" style="2" customWidth="1"/>
    <col min="15359" max="15359" width="12.85546875" style="2" customWidth="1"/>
    <col min="15360" max="15360" width="17.85546875" style="2" customWidth="1"/>
    <col min="15361" max="15361" width="15.140625" style="2" customWidth="1"/>
    <col min="15362" max="15362" width="0" style="2" hidden="1" customWidth="1"/>
    <col min="15363" max="15363" width="18.42578125" style="2" customWidth="1"/>
    <col min="15364" max="15367" width="0" style="2" hidden="1" customWidth="1"/>
    <col min="15368" max="15368" width="13.42578125" style="2" customWidth="1"/>
    <col min="15369" max="15369" width="12.42578125" style="2" bestFit="1" customWidth="1"/>
    <col min="15370" max="15376" width="0" style="2" hidden="1" customWidth="1"/>
    <col min="15377" max="15612" width="9.140625" style="2"/>
    <col min="15613" max="15613" width="13" style="2" customWidth="1"/>
    <col min="15614" max="15614" width="71.42578125" style="2" customWidth="1"/>
    <col min="15615" max="15615" width="12.85546875" style="2" customWidth="1"/>
    <col min="15616" max="15616" width="17.85546875" style="2" customWidth="1"/>
    <col min="15617" max="15617" width="15.140625" style="2" customWidth="1"/>
    <col min="15618" max="15618" width="0" style="2" hidden="1" customWidth="1"/>
    <col min="15619" max="15619" width="18.42578125" style="2" customWidth="1"/>
    <col min="15620" max="15623" width="0" style="2" hidden="1" customWidth="1"/>
    <col min="15624" max="15624" width="13.42578125" style="2" customWidth="1"/>
    <col min="15625" max="15625" width="12.42578125" style="2" bestFit="1" customWidth="1"/>
    <col min="15626" max="15632" width="0" style="2" hidden="1" customWidth="1"/>
    <col min="15633" max="15868" width="9.140625" style="2"/>
    <col min="15869" max="15869" width="13" style="2" customWidth="1"/>
    <col min="15870" max="15870" width="71.42578125" style="2" customWidth="1"/>
    <col min="15871" max="15871" width="12.85546875" style="2" customWidth="1"/>
    <col min="15872" max="15872" width="17.85546875" style="2" customWidth="1"/>
    <col min="15873" max="15873" width="15.140625" style="2" customWidth="1"/>
    <col min="15874" max="15874" width="0" style="2" hidden="1" customWidth="1"/>
    <col min="15875" max="15875" width="18.42578125" style="2" customWidth="1"/>
    <col min="15876" max="15879" width="0" style="2" hidden="1" customWidth="1"/>
    <col min="15880" max="15880" width="13.42578125" style="2" customWidth="1"/>
    <col min="15881" max="15881" width="12.42578125" style="2" bestFit="1" customWidth="1"/>
    <col min="15882" max="15888" width="0" style="2" hidden="1" customWidth="1"/>
    <col min="15889" max="16124" width="9.140625" style="2"/>
    <col min="16125" max="16125" width="13" style="2" customWidth="1"/>
    <col min="16126" max="16126" width="71.42578125" style="2" customWidth="1"/>
    <col min="16127" max="16127" width="12.85546875" style="2" customWidth="1"/>
    <col min="16128" max="16128" width="17.85546875" style="2" customWidth="1"/>
    <col min="16129" max="16129" width="15.140625" style="2" customWidth="1"/>
    <col min="16130" max="16130" width="0" style="2" hidden="1" customWidth="1"/>
    <col min="16131" max="16131" width="18.42578125" style="2" customWidth="1"/>
    <col min="16132" max="16135" width="0" style="2" hidden="1" customWidth="1"/>
    <col min="16136" max="16136" width="13.42578125" style="2" customWidth="1"/>
    <col min="16137" max="16137" width="12.42578125" style="2" bestFit="1" customWidth="1"/>
    <col min="16138" max="16144" width="0" style="2" hidden="1" customWidth="1"/>
    <col min="16145" max="16384" width="9.140625" style="2"/>
  </cols>
  <sheetData>
    <row r="1" spans="1:9" ht="21.95" customHeight="1" x14ac:dyDescent="0.35">
      <c r="A1" s="288"/>
      <c r="B1" s="222"/>
      <c r="C1" s="132"/>
      <c r="D1" s="223"/>
      <c r="E1" s="2"/>
      <c r="F1" s="134"/>
      <c r="G1" s="217" t="s">
        <v>389</v>
      </c>
    </row>
    <row r="2" spans="1:9" ht="20.100000000000001" customHeight="1" x14ac:dyDescent="0.3">
      <c r="A2" s="135"/>
      <c r="B2" s="222"/>
      <c r="C2" s="132"/>
      <c r="D2" s="223"/>
      <c r="E2" s="2"/>
      <c r="F2" s="217"/>
      <c r="G2" s="217" t="s">
        <v>143</v>
      </c>
    </row>
    <row r="3" spans="1:9" ht="20.100000000000001" customHeight="1" x14ac:dyDescent="0.3">
      <c r="A3" s="135"/>
      <c r="B3" s="2"/>
      <c r="C3" s="224"/>
      <c r="D3" s="225"/>
      <c r="E3" s="137"/>
      <c r="F3" s="137"/>
      <c r="G3" s="138" t="s">
        <v>139</v>
      </c>
      <c r="H3" s="226"/>
    </row>
    <row r="4" spans="1:9" ht="20.100000000000001" customHeight="1" x14ac:dyDescent="0.3">
      <c r="A4" s="135"/>
      <c r="B4" s="227"/>
      <c r="C4" s="228"/>
      <c r="D4" s="223"/>
      <c r="E4" s="226"/>
      <c r="F4" s="137"/>
      <c r="G4" s="138" t="s">
        <v>519</v>
      </c>
      <c r="H4" s="226"/>
    </row>
    <row r="5" spans="1:9" ht="20.100000000000001" customHeight="1" x14ac:dyDescent="0.3">
      <c r="A5" s="135"/>
      <c r="B5" s="227"/>
      <c r="C5" s="228"/>
      <c r="D5" s="223"/>
      <c r="E5" s="226"/>
      <c r="F5" s="137"/>
      <c r="G5" s="138"/>
      <c r="H5" s="226"/>
    </row>
    <row r="6" spans="1:9" ht="45.6" customHeight="1" x14ac:dyDescent="0.25">
      <c r="A6" s="311" t="s">
        <v>469</v>
      </c>
      <c r="B6" s="311"/>
      <c r="C6" s="311"/>
      <c r="D6" s="311"/>
      <c r="E6" s="311"/>
      <c r="F6" s="311"/>
      <c r="G6" s="311"/>
    </row>
    <row r="7" spans="1:9" ht="75.75" customHeight="1" x14ac:dyDescent="0.2">
      <c r="A7" s="229" t="s">
        <v>144</v>
      </c>
      <c r="B7" s="229" t="s">
        <v>145</v>
      </c>
      <c r="C7" s="229" t="s">
        <v>147</v>
      </c>
      <c r="D7" s="230" t="s">
        <v>148</v>
      </c>
      <c r="E7" s="229" t="s">
        <v>149</v>
      </c>
      <c r="F7" s="229" t="s">
        <v>390</v>
      </c>
      <c r="G7" s="231" t="s">
        <v>150</v>
      </c>
    </row>
    <row r="8" spans="1:9" ht="15.75" x14ac:dyDescent="0.25">
      <c r="A8" s="232">
        <v>1</v>
      </c>
      <c r="B8" s="232">
        <v>2</v>
      </c>
      <c r="C8" s="232" t="s">
        <v>152</v>
      </c>
      <c r="D8" s="233" t="s">
        <v>153</v>
      </c>
      <c r="E8" s="232" t="s">
        <v>154</v>
      </c>
      <c r="F8" s="232" t="s">
        <v>391</v>
      </c>
      <c r="G8" s="234">
        <v>8</v>
      </c>
    </row>
    <row r="9" spans="1:9" s="238" customFormat="1" ht="20.100000000000001" customHeight="1" x14ac:dyDescent="0.3">
      <c r="A9" s="235" t="s">
        <v>157</v>
      </c>
      <c r="B9" s="236" t="s">
        <v>158</v>
      </c>
      <c r="C9" s="235" t="s">
        <v>392</v>
      </c>
      <c r="D9" s="282"/>
      <c r="E9" s="173"/>
      <c r="F9" s="173"/>
      <c r="G9" s="174">
        <f>G10+G13+G22+G34+G37</f>
        <v>35397.899999999994</v>
      </c>
      <c r="H9" s="237"/>
    </row>
    <row r="10" spans="1:9" s="238" customFormat="1" ht="36.950000000000003" customHeight="1" x14ac:dyDescent="0.3">
      <c r="A10" s="239" t="s">
        <v>12</v>
      </c>
      <c r="B10" s="240" t="s">
        <v>337</v>
      </c>
      <c r="C10" s="239" t="s">
        <v>393</v>
      </c>
      <c r="D10" s="283"/>
      <c r="E10" s="163"/>
      <c r="F10" s="163"/>
      <c r="G10" s="161">
        <f>G11</f>
        <v>888.7</v>
      </c>
      <c r="H10" s="241"/>
      <c r="I10" s="242"/>
    </row>
    <row r="11" spans="1:9" s="238" customFormat="1" ht="18.95" customHeight="1" x14ac:dyDescent="0.3">
      <c r="A11" s="239"/>
      <c r="B11" s="243" t="s">
        <v>339</v>
      </c>
      <c r="C11" s="239" t="s">
        <v>394</v>
      </c>
      <c r="D11" s="283" t="str">
        <f>[2]ВСР!E115</f>
        <v>00201 00010</v>
      </c>
      <c r="E11" s="163"/>
      <c r="F11" s="163"/>
      <c r="G11" s="164">
        <f>G12</f>
        <v>888.7</v>
      </c>
      <c r="H11" s="241"/>
      <c r="I11" s="242"/>
    </row>
    <row r="12" spans="1:9" s="238" customFormat="1" ht="77.45" customHeight="1" x14ac:dyDescent="0.3">
      <c r="A12" s="239"/>
      <c r="B12" s="243" t="s">
        <v>166</v>
      </c>
      <c r="C12" s="239" t="s">
        <v>394</v>
      </c>
      <c r="D12" s="283" t="str">
        <f>[2]ВСР!E116</f>
        <v>00201 00010</v>
      </c>
      <c r="E12" s="163" t="s">
        <v>167</v>
      </c>
      <c r="F12" s="163"/>
      <c r="G12" s="164">
        <f>ВСР!G111</f>
        <v>888.7</v>
      </c>
      <c r="H12" s="241"/>
      <c r="I12" s="242"/>
    </row>
    <row r="13" spans="1:9" s="238" customFormat="1" ht="55.5" customHeight="1" x14ac:dyDescent="0.3">
      <c r="A13" s="244" t="s">
        <v>168</v>
      </c>
      <c r="B13" s="245" t="s">
        <v>342</v>
      </c>
      <c r="C13" s="244" t="s">
        <v>395</v>
      </c>
      <c r="D13" s="284"/>
      <c r="E13" s="160"/>
      <c r="F13" s="160"/>
      <c r="G13" s="161">
        <f>G16+G18+G14</f>
        <v>8453.6999999999989</v>
      </c>
      <c r="H13" s="241"/>
      <c r="I13" s="242"/>
    </row>
    <row r="14" spans="1:9" s="238" customFormat="1" ht="17.100000000000001" customHeight="1" x14ac:dyDescent="0.3">
      <c r="A14" s="244" t="s">
        <v>171</v>
      </c>
      <c r="B14" s="245" t="s">
        <v>396</v>
      </c>
      <c r="C14" s="244" t="s">
        <v>397</v>
      </c>
      <c r="D14" s="160" t="str">
        <f>[2]ВСР!E118</f>
        <v>00203 00021</v>
      </c>
      <c r="E14" s="160"/>
      <c r="F14" s="160"/>
      <c r="G14" s="161">
        <f>G15</f>
        <v>759.1</v>
      </c>
      <c r="H14" s="241"/>
      <c r="I14" s="242"/>
    </row>
    <row r="15" spans="1:9" s="238" customFormat="1" ht="108.95" customHeight="1" x14ac:dyDescent="0.3">
      <c r="A15" s="244"/>
      <c r="B15" s="245" t="s">
        <v>349</v>
      </c>
      <c r="C15" s="244" t="s">
        <v>397</v>
      </c>
      <c r="D15" s="284" t="s">
        <v>347</v>
      </c>
      <c r="E15" s="160" t="s">
        <v>167</v>
      </c>
      <c r="F15" s="160"/>
      <c r="G15" s="161">
        <f>ВСР!G114</f>
        <v>759.1</v>
      </c>
      <c r="H15" s="241"/>
      <c r="I15" s="242"/>
    </row>
    <row r="16" spans="1:9" s="238" customFormat="1" ht="36.950000000000003" customHeight="1" x14ac:dyDescent="0.3">
      <c r="A16" s="244" t="s">
        <v>172</v>
      </c>
      <c r="B16" s="245" t="s">
        <v>351</v>
      </c>
      <c r="C16" s="244" t="s">
        <v>397</v>
      </c>
      <c r="D16" s="160" t="str">
        <f>[2]ВСР!E120</f>
        <v>00203 00022</v>
      </c>
      <c r="E16" s="160"/>
      <c r="F16" s="160"/>
      <c r="G16" s="161">
        <f>G17</f>
        <v>100.8</v>
      </c>
      <c r="H16" s="241"/>
      <c r="I16" s="242"/>
    </row>
    <row r="17" spans="1:16" s="238" customFormat="1" ht="110.1" customHeight="1" x14ac:dyDescent="0.3">
      <c r="A17" s="244"/>
      <c r="B17" s="245" t="s">
        <v>349</v>
      </c>
      <c r="C17" s="244" t="s">
        <v>397</v>
      </c>
      <c r="D17" s="284" t="s">
        <v>352</v>
      </c>
      <c r="E17" s="160" t="s">
        <v>167</v>
      </c>
      <c r="F17" s="160"/>
      <c r="G17" s="161">
        <f>ВСР!G116</f>
        <v>100.8</v>
      </c>
      <c r="H17" s="241"/>
      <c r="I17" s="242"/>
    </row>
    <row r="18" spans="1:16" s="238" customFormat="1" ht="35.1" customHeight="1" x14ac:dyDescent="0.3">
      <c r="A18" s="244" t="s">
        <v>175</v>
      </c>
      <c r="B18" s="245" t="s">
        <v>355</v>
      </c>
      <c r="C18" s="244" t="s">
        <v>397</v>
      </c>
      <c r="D18" s="160" t="str">
        <f>[2]ВСР!E123</f>
        <v>00204 00020</v>
      </c>
      <c r="E18" s="160"/>
      <c r="F18" s="160"/>
      <c r="G18" s="161">
        <f>G19+G20+G21</f>
        <v>7593.7999999999993</v>
      </c>
      <c r="H18" s="241"/>
      <c r="I18" s="242"/>
    </row>
    <row r="19" spans="1:16" s="238" customFormat="1" ht="72" customHeight="1" x14ac:dyDescent="0.3">
      <c r="A19" s="244"/>
      <c r="B19" s="243" t="s">
        <v>166</v>
      </c>
      <c r="C19" s="244" t="s">
        <v>397</v>
      </c>
      <c r="D19" s="284" t="s">
        <v>357</v>
      </c>
      <c r="E19" s="160" t="s">
        <v>167</v>
      </c>
      <c r="F19" s="160"/>
      <c r="G19" s="161">
        <f>ВСР!G118</f>
        <v>3770.2</v>
      </c>
      <c r="H19" s="241"/>
      <c r="I19" s="242"/>
    </row>
    <row r="20" spans="1:16" s="238" customFormat="1" ht="33.75" customHeight="1" x14ac:dyDescent="0.3">
      <c r="A20" s="244"/>
      <c r="B20" s="246" t="s">
        <v>173</v>
      </c>
      <c r="C20" s="244" t="s">
        <v>397</v>
      </c>
      <c r="D20" s="284" t="s">
        <v>357</v>
      </c>
      <c r="E20" s="160" t="s">
        <v>174</v>
      </c>
      <c r="F20" s="160"/>
      <c r="G20" s="161">
        <f>ВСР!G119</f>
        <v>3807.6</v>
      </c>
      <c r="H20" s="241"/>
      <c r="I20" s="242"/>
    </row>
    <row r="21" spans="1:16" s="238" customFormat="1" ht="20.100000000000001" customHeight="1" x14ac:dyDescent="0.3">
      <c r="A21" s="244"/>
      <c r="B21" s="245" t="s">
        <v>176</v>
      </c>
      <c r="C21" s="244" t="s">
        <v>398</v>
      </c>
      <c r="D21" s="284" t="s">
        <v>357</v>
      </c>
      <c r="E21" s="160" t="s">
        <v>177</v>
      </c>
      <c r="F21" s="160"/>
      <c r="G21" s="161">
        <f>ВСР!G120</f>
        <v>16</v>
      </c>
      <c r="H21" s="241"/>
      <c r="I21" s="242"/>
    </row>
    <row r="22" spans="1:16" s="238" customFormat="1" ht="54" customHeight="1" x14ac:dyDescent="0.3">
      <c r="A22" s="244" t="s">
        <v>52</v>
      </c>
      <c r="B22" s="247" t="s">
        <v>161</v>
      </c>
      <c r="C22" s="244" t="s">
        <v>399</v>
      </c>
      <c r="D22" s="284"/>
      <c r="E22" s="160"/>
      <c r="F22" s="160"/>
      <c r="G22" s="161">
        <f>G23+G25+G29+G31</f>
        <v>16447.899999999998</v>
      </c>
      <c r="H22" s="241"/>
      <c r="I22" s="242"/>
    </row>
    <row r="23" spans="1:16" s="238" customFormat="1" ht="20.100000000000001" customHeight="1" x14ac:dyDescent="0.3">
      <c r="A23" s="244" t="s">
        <v>192</v>
      </c>
      <c r="B23" s="243" t="s">
        <v>164</v>
      </c>
      <c r="C23" s="244" t="s">
        <v>400</v>
      </c>
      <c r="D23" s="160" t="str">
        <f>[2]ВСР!E15</f>
        <v>00205 00030</v>
      </c>
      <c r="E23" s="160"/>
      <c r="F23" s="160"/>
      <c r="G23" s="161">
        <f>G24</f>
        <v>1089.7</v>
      </c>
      <c r="H23" s="237"/>
      <c r="I23" s="242"/>
    </row>
    <row r="24" spans="1:16" s="238" customFormat="1" ht="78.75" customHeight="1" x14ac:dyDescent="0.3">
      <c r="A24" s="244"/>
      <c r="B24" s="243" t="s">
        <v>166</v>
      </c>
      <c r="C24" s="244" t="s">
        <v>400</v>
      </c>
      <c r="D24" s="284" t="s">
        <v>165</v>
      </c>
      <c r="E24" s="163" t="s">
        <v>167</v>
      </c>
      <c r="F24" s="163"/>
      <c r="G24" s="164">
        <f>ВСР!G13</f>
        <v>1089.7</v>
      </c>
      <c r="H24" s="237"/>
    </row>
    <row r="25" spans="1:16" ht="74.099999999999994" customHeight="1" x14ac:dyDescent="0.3">
      <c r="A25" s="248" t="s">
        <v>196</v>
      </c>
      <c r="B25" s="249" t="s">
        <v>169</v>
      </c>
      <c r="C25" s="244" t="s">
        <v>400</v>
      </c>
      <c r="D25" s="160" t="str">
        <f>[2]ВСР!E17</f>
        <v>00206 00030</v>
      </c>
      <c r="E25" s="160"/>
      <c r="F25" s="160"/>
      <c r="G25" s="161">
        <f>G26+G27+G28</f>
        <v>12793.499999999998</v>
      </c>
    </row>
    <row r="26" spans="1:16" ht="78" customHeight="1" x14ac:dyDescent="0.3">
      <c r="A26" s="250"/>
      <c r="B26" s="251" t="s">
        <v>166</v>
      </c>
      <c r="C26" s="239" t="s">
        <v>400</v>
      </c>
      <c r="D26" s="284" t="s">
        <v>170</v>
      </c>
      <c r="E26" s="160" t="s">
        <v>167</v>
      </c>
      <c r="F26" s="160"/>
      <c r="G26" s="161">
        <f>ВСР!G15</f>
        <v>10347.299999999999</v>
      </c>
    </row>
    <row r="27" spans="1:16" s="136" customFormat="1" ht="37.5" x14ac:dyDescent="0.3">
      <c r="A27" s="250"/>
      <c r="B27" s="252" t="s">
        <v>173</v>
      </c>
      <c r="C27" s="239" t="s">
        <v>400</v>
      </c>
      <c r="D27" s="284" t="s">
        <v>170</v>
      </c>
      <c r="E27" s="160" t="s">
        <v>174</v>
      </c>
      <c r="F27" s="160"/>
      <c r="G27" s="161">
        <f>ВСР!G16</f>
        <v>2384.8000000000002</v>
      </c>
      <c r="H27" s="2"/>
      <c r="I27" s="2"/>
      <c r="J27" s="2"/>
      <c r="K27" s="2"/>
      <c r="L27" s="2"/>
      <c r="M27" s="2"/>
      <c r="N27" s="2"/>
      <c r="O27" s="2"/>
      <c r="P27" s="2"/>
    </row>
    <row r="28" spans="1:16" ht="22.5" customHeight="1" x14ac:dyDescent="0.3">
      <c r="A28" s="250"/>
      <c r="B28" s="253" t="s">
        <v>176</v>
      </c>
      <c r="C28" s="244" t="s">
        <v>400</v>
      </c>
      <c r="D28" s="284" t="s">
        <v>170</v>
      </c>
      <c r="E28" s="160" t="s">
        <v>177</v>
      </c>
      <c r="F28" s="163"/>
      <c r="G28" s="164">
        <f>ВСР!G17</f>
        <v>61.4</v>
      </c>
    </row>
    <row r="29" spans="1:16" ht="75" x14ac:dyDescent="0.3">
      <c r="A29" s="248" t="s">
        <v>201</v>
      </c>
      <c r="B29" s="254" t="s">
        <v>178</v>
      </c>
      <c r="C29" s="239" t="s">
        <v>400</v>
      </c>
      <c r="D29" s="163" t="str">
        <f>[2]ВСР!E20</f>
        <v>09200 G0100</v>
      </c>
      <c r="E29" s="163"/>
      <c r="F29" s="163"/>
      <c r="G29" s="164">
        <f>G30</f>
        <v>6.5</v>
      </c>
    </row>
    <row r="30" spans="1:16" ht="37.5" x14ac:dyDescent="0.3">
      <c r="A30" s="250"/>
      <c r="B30" s="255" t="s">
        <v>173</v>
      </c>
      <c r="C30" s="239" t="s">
        <v>400</v>
      </c>
      <c r="D30" s="283" t="s">
        <v>179</v>
      </c>
      <c r="E30" s="163" t="s">
        <v>174</v>
      </c>
      <c r="F30" s="163"/>
      <c r="G30" s="164">
        <f>ВСР!G19</f>
        <v>6.5</v>
      </c>
    </row>
    <row r="31" spans="1:16" ht="75" x14ac:dyDescent="0.3">
      <c r="A31" s="248" t="s">
        <v>205</v>
      </c>
      <c r="B31" s="169" t="s">
        <v>181</v>
      </c>
      <c r="C31" s="239" t="s">
        <v>400</v>
      </c>
      <c r="D31" s="182" t="str">
        <f>[2]ВСР!E22</f>
        <v>00200 G0850</v>
      </c>
      <c r="E31" s="163"/>
      <c r="F31" s="163"/>
      <c r="G31" s="164">
        <f>SUM(G32:G33)</f>
        <v>2558.2000000000003</v>
      </c>
    </row>
    <row r="32" spans="1:16" ht="77.25" customHeight="1" x14ac:dyDescent="0.3">
      <c r="A32" s="250"/>
      <c r="B32" s="169" t="s">
        <v>166</v>
      </c>
      <c r="C32" s="239" t="s">
        <v>400</v>
      </c>
      <c r="D32" s="285" t="s">
        <v>182</v>
      </c>
      <c r="E32" s="163" t="s">
        <v>167</v>
      </c>
      <c r="F32" s="163"/>
      <c r="G32" s="164">
        <f>ВСР!G21</f>
        <v>2378.8000000000002</v>
      </c>
    </row>
    <row r="33" spans="1:7" ht="37.5" x14ac:dyDescent="0.3">
      <c r="A33" s="248"/>
      <c r="B33" s="168" t="s">
        <v>173</v>
      </c>
      <c r="C33" s="239" t="s">
        <v>400</v>
      </c>
      <c r="D33" s="285" t="s">
        <v>182</v>
      </c>
      <c r="E33" s="163" t="s">
        <v>174</v>
      </c>
      <c r="F33" s="163"/>
      <c r="G33" s="164">
        <f>ВСР!G22</f>
        <v>179.4</v>
      </c>
    </row>
    <row r="34" spans="1:7" ht="23.1" customHeight="1" x14ac:dyDescent="0.3">
      <c r="A34" s="248" t="s">
        <v>53</v>
      </c>
      <c r="B34" s="258" t="s">
        <v>401</v>
      </c>
      <c r="C34" s="239" t="s">
        <v>402</v>
      </c>
      <c r="D34" s="283"/>
      <c r="E34" s="163"/>
      <c r="F34" s="163"/>
      <c r="G34" s="164">
        <f>G35</f>
        <v>50</v>
      </c>
    </row>
    <row r="35" spans="1:7" ht="18.75" x14ac:dyDescent="0.3">
      <c r="A35" s="248"/>
      <c r="B35" s="258" t="s">
        <v>187</v>
      </c>
      <c r="C35" s="239" t="s">
        <v>403</v>
      </c>
      <c r="D35" s="163" t="str">
        <f>[2]ВСР!E26</f>
        <v>07001 00060</v>
      </c>
      <c r="E35" s="163"/>
      <c r="F35" s="163"/>
      <c r="G35" s="164">
        <f>G36</f>
        <v>50</v>
      </c>
    </row>
    <row r="36" spans="1:7" ht="18.75" x14ac:dyDescent="0.3">
      <c r="A36" s="248"/>
      <c r="B36" s="258" t="s">
        <v>176</v>
      </c>
      <c r="C36" s="239" t="s">
        <v>403</v>
      </c>
      <c r="D36" s="283" t="s">
        <v>188</v>
      </c>
      <c r="E36" s="163" t="s">
        <v>177</v>
      </c>
      <c r="F36" s="163"/>
      <c r="G36" s="164">
        <f>ВСР!G25</f>
        <v>50</v>
      </c>
    </row>
    <row r="37" spans="1:7" ht="18.75" x14ac:dyDescent="0.3">
      <c r="A37" s="248" t="s">
        <v>74</v>
      </c>
      <c r="B37" s="258" t="s">
        <v>404</v>
      </c>
      <c r="C37" s="239" t="s">
        <v>405</v>
      </c>
      <c r="D37" s="283"/>
      <c r="E37" s="163"/>
      <c r="F37" s="163"/>
      <c r="G37" s="164">
        <f>G38+G42+G47+G40+G45</f>
        <v>9557.6</v>
      </c>
    </row>
    <row r="38" spans="1:7" ht="18.75" x14ac:dyDescent="0.3">
      <c r="A38" s="248" t="s">
        <v>77</v>
      </c>
      <c r="B38" s="254" t="s">
        <v>193</v>
      </c>
      <c r="C38" s="239" t="s">
        <v>406</v>
      </c>
      <c r="D38" s="163" t="str">
        <f>[2]ВСР!E29</f>
        <v>09201 00070</v>
      </c>
      <c r="E38" s="163"/>
      <c r="F38" s="163"/>
      <c r="G38" s="164">
        <f>G39</f>
        <v>198</v>
      </c>
    </row>
    <row r="39" spans="1:7" ht="37.5" x14ac:dyDescent="0.3">
      <c r="A39" s="248"/>
      <c r="B39" s="254" t="s">
        <v>173</v>
      </c>
      <c r="C39" s="239" t="s">
        <v>406</v>
      </c>
      <c r="D39" s="283" t="s">
        <v>194</v>
      </c>
      <c r="E39" s="163" t="s">
        <v>174</v>
      </c>
      <c r="F39" s="163"/>
      <c r="G39" s="164">
        <f>ВСР!G28</f>
        <v>198</v>
      </c>
    </row>
    <row r="40" spans="1:7" ht="56.25" x14ac:dyDescent="0.3">
      <c r="A40" s="248" t="s">
        <v>80</v>
      </c>
      <c r="B40" s="259" t="s">
        <v>362</v>
      </c>
      <c r="C40" s="244" t="s">
        <v>406</v>
      </c>
      <c r="D40" s="160" t="str">
        <f>[2]ВСР!E127</f>
        <v>09205 00440</v>
      </c>
      <c r="E40" s="160"/>
      <c r="F40" s="160"/>
      <c r="G40" s="161">
        <f>G41</f>
        <v>72</v>
      </c>
    </row>
    <row r="41" spans="1:7" ht="18.75" x14ac:dyDescent="0.3">
      <c r="A41" s="248"/>
      <c r="B41" s="252" t="s">
        <v>176</v>
      </c>
      <c r="C41" s="244" t="s">
        <v>406</v>
      </c>
      <c r="D41" s="284" t="s">
        <v>363</v>
      </c>
      <c r="E41" s="160" t="s">
        <v>177</v>
      </c>
      <c r="F41" s="163"/>
      <c r="G41" s="164">
        <f>ВСР!G123</f>
        <v>72</v>
      </c>
    </row>
    <row r="42" spans="1:7" ht="75" x14ac:dyDescent="0.3">
      <c r="A42" s="248" t="s">
        <v>87</v>
      </c>
      <c r="B42" s="260" t="s">
        <v>197</v>
      </c>
      <c r="C42" s="239" t="s">
        <v>406</v>
      </c>
      <c r="D42" s="182" t="str">
        <f>[2]ВСР!E32</f>
        <v>09201 00460</v>
      </c>
      <c r="E42" s="163"/>
      <c r="F42" s="163"/>
      <c r="G42" s="164">
        <f>G43+G44</f>
        <v>9237.6</v>
      </c>
    </row>
    <row r="43" spans="1:7" ht="71.25" customHeight="1" x14ac:dyDescent="0.3">
      <c r="A43" s="248"/>
      <c r="B43" s="260" t="s">
        <v>166</v>
      </c>
      <c r="C43" s="239" t="s">
        <v>406</v>
      </c>
      <c r="D43" s="285" t="s">
        <v>198</v>
      </c>
      <c r="E43" s="163" t="s">
        <v>167</v>
      </c>
      <c r="F43" s="163"/>
      <c r="G43" s="164">
        <f>ВСР!G30</f>
        <v>9059.6</v>
      </c>
    </row>
    <row r="44" spans="1:7" ht="37.5" x14ac:dyDescent="0.3">
      <c r="A44" s="248"/>
      <c r="B44" s="254" t="s">
        <v>173</v>
      </c>
      <c r="C44" s="239" t="s">
        <v>406</v>
      </c>
      <c r="D44" s="285" t="s">
        <v>198</v>
      </c>
      <c r="E44" s="163" t="s">
        <v>174</v>
      </c>
      <c r="F44" s="163"/>
      <c r="G44" s="164">
        <f>ВСР!G31</f>
        <v>178</v>
      </c>
    </row>
    <row r="45" spans="1:7" ht="56.25" x14ac:dyDescent="0.3">
      <c r="A45" s="248" t="s">
        <v>475</v>
      </c>
      <c r="B45" s="253" t="s">
        <v>202</v>
      </c>
      <c r="C45" s="239" t="s">
        <v>406</v>
      </c>
      <c r="D45" s="182" t="str">
        <f>[2]ВСР!E36</f>
        <v>79507 00180</v>
      </c>
      <c r="E45" s="163"/>
      <c r="F45" s="163"/>
      <c r="G45" s="164">
        <f>G46</f>
        <v>20</v>
      </c>
    </row>
    <row r="46" spans="1:7" ht="37.5" x14ac:dyDescent="0.3">
      <c r="A46" s="248"/>
      <c r="B46" s="254" t="s">
        <v>173</v>
      </c>
      <c r="C46" s="239" t="s">
        <v>406</v>
      </c>
      <c r="D46" s="285" t="s">
        <v>203</v>
      </c>
      <c r="E46" s="163" t="s">
        <v>174</v>
      </c>
      <c r="F46" s="163"/>
      <c r="G46" s="164">
        <f>ВСР!G33</f>
        <v>20</v>
      </c>
    </row>
    <row r="47" spans="1:7" ht="109.5" customHeight="1" x14ac:dyDescent="0.3">
      <c r="A47" s="248" t="s">
        <v>476</v>
      </c>
      <c r="B47" s="261" t="s">
        <v>407</v>
      </c>
      <c r="C47" s="239" t="s">
        <v>406</v>
      </c>
      <c r="D47" s="163" t="str">
        <f>[2]ВСР!E38</f>
        <v>79508 00520</v>
      </c>
      <c r="E47" s="163"/>
      <c r="F47" s="163"/>
      <c r="G47" s="164">
        <f>G48</f>
        <v>30</v>
      </c>
    </row>
    <row r="48" spans="1:7" ht="36.950000000000003" customHeight="1" x14ac:dyDescent="0.3">
      <c r="A48" s="248"/>
      <c r="B48" s="254" t="s">
        <v>173</v>
      </c>
      <c r="C48" s="239" t="s">
        <v>406</v>
      </c>
      <c r="D48" s="283" t="s">
        <v>207</v>
      </c>
      <c r="E48" s="163" t="s">
        <v>174</v>
      </c>
      <c r="F48" s="163"/>
      <c r="G48" s="164">
        <f>ВСР!G35</f>
        <v>30</v>
      </c>
    </row>
    <row r="49" spans="1:9" ht="37.5" x14ac:dyDescent="0.3">
      <c r="A49" s="262" t="s">
        <v>128</v>
      </c>
      <c r="B49" s="263" t="s">
        <v>209</v>
      </c>
      <c r="C49" s="235" t="s">
        <v>395</v>
      </c>
      <c r="D49" s="282"/>
      <c r="E49" s="173"/>
      <c r="F49" s="173"/>
      <c r="G49" s="174">
        <f>G50</f>
        <v>21</v>
      </c>
    </row>
    <row r="50" spans="1:9" ht="36" customHeight="1" x14ac:dyDescent="0.3">
      <c r="A50" s="248" t="s">
        <v>126</v>
      </c>
      <c r="B50" s="261" t="s">
        <v>211</v>
      </c>
      <c r="C50" s="239" t="s">
        <v>408</v>
      </c>
      <c r="D50" s="283"/>
      <c r="E50" s="163"/>
      <c r="F50" s="163"/>
      <c r="G50" s="164">
        <f>G51</f>
        <v>21</v>
      </c>
    </row>
    <row r="51" spans="1:9" ht="126.75" customHeight="1" x14ac:dyDescent="0.3">
      <c r="A51" s="248" t="s">
        <v>129</v>
      </c>
      <c r="B51" s="264" t="s">
        <v>213</v>
      </c>
      <c r="C51" s="239" t="s">
        <v>409</v>
      </c>
      <c r="D51" s="163" t="str">
        <f>[2]ВСР!E43</f>
        <v>21900 00090</v>
      </c>
      <c r="E51" s="163"/>
      <c r="F51" s="163"/>
      <c r="G51" s="164">
        <f>G52</f>
        <v>21</v>
      </c>
    </row>
    <row r="52" spans="1:9" ht="37.5" x14ac:dyDescent="0.3">
      <c r="A52" s="248"/>
      <c r="B52" s="254" t="s">
        <v>173</v>
      </c>
      <c r="C52" s="239" t="s">
        <v>409</v>
      </c>
      <c r="D52" s="283" t="s">
        <v>214</v>
      </c>
      <c r="E52" s="163" t="s">
        <v>174</v>
      </c>
      <c r="F52" s="163"/>
      <c r="G52" s="164">
        <f>ВСР!G39</f>
        <v>21</v>
      </c>
    </row>
    <row r="53" spans="1:9" ht="18.75" x14ac:dyDescent="0.3">
      <c r="A53" s="262" t="s">
        <v>151</v>
      </c>
      <c r="B53" s="263" t="s">
        <v>216</v>
      </c>
      <c r="C53" s="235" t="s">
        <v>399</v>
      </c>
      <c r="D53" s="282"/>
      <c r="E53" s="173"/>
      <c r="F53" s="173"/>
      <c r="G53" s="174">
        <f>G57+G54</f>
        <v>285.5</v>
      </c>
    </row>
    <row r="54" spans="1:9" s="238" customFormat="1" ht="18.75" x14ac:dyDescent="0.3">
      <c r="A54" s="248" t="s">
        <v>373</v>
      </c>
      <c r="B54" s="258" t="s">
        <v>218</v>
      </c>
      <c r="C54" s="239" t="s">
        <v>392</v>
      </c>
      <c r="D54" s="285"/>
      <c r="E54" s="163"/>
      <c r="F54" s="163"/>
      <c r="G54" s="164">
        <f>G55</f>
        <v>265.5</v>
      </c>
    </row>
    <row r="55" spans="1:9" s="238" customFormat="1" ht="56.25" x14ac:dyDescent="0.3">
      <c r="A55" s="248" t="s">
        <v>374</v>
      </c>
      <c r="B55" s="258" t="s">
        <v>221</v>
      </c>
      <c r="C55" s="239" t="s">
        <v>410</v>
      </c>
      <c r="D55" s="182" t="str">
        <f>[2]ВСР!E47</f>
        <v>51001 00100</v>
      </c>
      <c r="E55" s="163"/>
      <c r="F55" s="163"/>
      <c r="G55" s="164">
        <f>G56</f>
        <v>265.5</v>
      </c>
    </row>
    <row r="56" spans="1:9" s="238" customFormat="1" ht="37.5" x14ac:dyDescent="0.3">
      <c r="A56" s="248"/>
      <c r="B56" s="258" t="s">
        <v>173</v>
      </c>
      <c r="C56" s="239" t="s">
        <v>410</v>
      </c>
      <c r="D56" s="285" t="s">
        <v>222</v>
      </c>
      <c r="E56" s="163" t="s">
        <v>174</v>
      </c>
      <c r="F56" s="163"/>
      <c r="G56" s="164">
        <f>ВСР!G43</f>
        <v>265.5</v>
      </c>
    </row>
    <row r="57" spans="1:9" ht="18.75" x14ac:dyDescent="0.3">
      <c r="A57" s="248" t="s">
        <v>411</v>
      </c>
      <c r="B57" s="265" t="s">
        <v>224</v>
      </c>
      <c r="C57" s="239" t="s">
        <v>412</v>
      </c>
      <c r="D57" s="285"/>
      <c r="E57" s="163"/>
      <c r="F57" s="163"/>
      <c r="G57" s="164">
        <f>G58</f>
        <v>20</v>
      </c>
    </row>
    <row r="58" spans="1:9" ht="75" x14ac:dyDescent="0.3">
      <c r="A58" s="248" t="s">
        <v>413</v>
      </c>
      <c r="B58" s="266" t="s">
        <v>414</v>
      </c>
      <c r="C58" s="239" t="s">
        <v>415</v>
      </c>
      <c r="D58" s="182" t="str">
        <f>[2]ВСР!E51</f>
        <v>34500 00100</v>
      </c>
      <c r="E58" s="163"/>
      <c r="F58" s="163"/>
      <c r="G58" s="164">
        <f>G59</f>
        <v>20</v>
      </c>
    </row>
    <row r="59" spans="1:9" ht="37.5" x14ac:dyDescent="0.3">
      <c r="A59" s="248"/>
      <c r="B59" s="162" t="s">
        <v>173</v>
      </c>
      <c r="C59" s="239" t="s">
        <v>415</v>
      </c>
      <c r="D59" s="285" t="s">
        <v>227</v>
      </c>
      <c r="E59" s="163" t="s">
        <v>174</v>
      </c>
      <c r="F59" s="163"/>
      <c r="G59" s="161">
        <f>ВСР!G46</f>
        <v>20</v>
      </c>
      <c r="H59" s="80"/>
      <c r="I59" s="80"/>
    </row>
    <row r="60" spans="1:9" ht="23.1" customHeight="1" x14ac:dyDescent="0.3">
      <c r="A60" s="262" t="s">
        <v>152</v>
      </c>
      <c r="B60" s="267" t="s">
        <v>229</v>
      </c>
      <c r="C60" s="235" t="s">
        <v>416</v>
      </c>
      <c r="D60" s="286"/>
      <c r="E60" s="173"/>
      <c r="F60" s="173"/>
      <c r="G60" s="298">
        <f>G61</f>
        <v>28916.2</v>
      </c>
      <c r="H60" s="80"/>
      <c r="I60" s="80"/>
    </row>
    <row r="61" spans="1:9" ht="18.75" x14ac:dyDescent="0.3">
      <c r="A61" s="248" t="s">
        <v>417</v>
      </c>
      <c r="B61" s="256" t="s">
        <v>231</v>
      </c>
      <c r="C61" s="239" t="s">
        <v>418</v>
      </c>
      <c r="D61" s="285"/>
      <c r="E61" s="163"/>
      <c r="F61" s="163"/>
      <c r="G61" s="161">
        <f>G63+G65+G67+G69+G71+G73+G75+G77</f>
        <v>28916.2</v>
      </c>
      <c r="H61" s="297"/>
      <c r="I61" s="80"/>
    </row>
    <row r="62" spans="1:9" ht="37.5" x14ac:dyDescent="0.3">
      <c r="A62" s="248" t="s">
        <v>419</v>
      </c>
      <c r="B62" s="256" t="s">
        <v>233</v>
      </c>
      <c r="C62" s="239" t="s">
        <v>420</v>
      </c>
      <c r="D62" s="182" t="s">
        <v>421</v>
      </c>
      <c r="E62" s="163"/>
      <c r="F62" s="163"/>
      <c r="G62" s="161">
        <f>G61</f>
        <v>28916.2</v>
      </c>
      <c r="H62" s="297"/>
      <c r="I62" s="80"/>
    </row>
    <row r="63" spans="1:9" ht="37.5" x14ac:dyDescent="0.3">
      <c r="A63" s="248" t="s">
        <v>422</v>
      </c>
      <c r="B63" s="246" t="s">
        <v>234</v>
      </c>
      <c r="C63" s="239" t="s">
        <v>420</v>
      </c>
      <c r="D63" s="182" t="str">
        <f>[2]ВСР!E56</f>
        <v>60001 00132</v>
      </c>
      <c r="E63" s="163"/>
      <c r="F63" s="163"/>
      <c r="G63" s="161">
        <f>G64</f>
        <v>125.4</v>
      </c>
      <c r="H63" s="297"/>
      <c r="I63" s="80"/>
    </row>
    <row r="64" spans="1:9" ht="37.5" x14ac:dyDescent="0.3">
      <c r="A64" s="248"/>
      <c r="B64" s="162" t="s">
        <v>173</v>
      </c>
      <c r="C64" s="239" t="s">
        <v>420</v>
      </c>
      <c r="D64" s="182" t="str">
        <f>[2]ВСР!E57</f>
        <v>60001 00132</v>
      </c>
      <c r="E64" s="163" t="s">
        <v>174</v>
      </c>
      <c r="F64" s="163"/>
      <c r="G64" s="161">
        <f>ВСР!G51</f>
        <v>125.4</v>
      </c>
      <c r="H64" s="297"/>
      <c r="I64" s="80"/>
    </row>
    <row r="65" spans="1:9" ht="76.5" customHeight="1" x14ac:dyDescent="0.3">
      <c r="A65" s="248" t="s">
        <v>423</v>
      </c>
      <c r="B65" s="246" t="s">
        <v>237</v>
      </c>
      <c r="C65" s="239" t="s">
        <v>420</v>
      </c>
      <c r="D65" s="182" t="s">
        <v>490</v>
      </c>
      <c r="E65" s="163"/>
      <c r="F65" s="163"/>
      <c r="G65" s="161">
        <f>G66</f>
        <v>81.7</v>
      </c>
      <c r="H65" s="297"/>
      <c r="I65" s="80"/>
    </row>
    <row r="66" spans="1:9" ht="37.5" x14ac:dyDescent="0.3">
      <c r="A66" s="248"/>
      <c r="B66" s="246" t="s">
        <v>173</v>
      </c>
      <c r="C66" s="239" t="s">
        <v>420</v>
      </c>
      <c r="D66" s="182" t="s">
        <v>490</v>
      </c>
      <c r="E66" s="163" t="s">
        <v>174</v>
      </c>
      <c r="F66" s="163"/>
      <c r="G66" s="161">
        <f>ВСР!G53</f>
        <v>81.7</v>
      </c>
      <c r="H66" s="297"/>
      <c r="I66" s="80"/>
    </row>
    <row r="67" spans="1:9" ht="37.5" x14ac:dyDescent="0.3">
      <c r="A67" s="248" t="s">
        <v>424</v>
      </c>
      <c r="B67" s="246" t="s">
        <v>239</v>
      </c>
      <c r="C67" s="239" t="s">
        <v>420</v>
      </c>
      <c r="D67" s="182" t="str">
        <f>[2]ВСР!E63</f>
        <v>60003 00151</v>
      </c>
      <c r="E67" s="163"/>
      <c r="F67" s="163"/>
      <c r="G67" s="161">
        <f>G68</f>
        <v>750</v>
      </c>
      <c r="H67" s="297"/>
      <c r="I67" s="80"/>
    </row>
    <row r="68" spans="1:9" ht="37.5" x14ac:dyDescent="0.3">
      <c r="A68" s="248"/>
      <c r="B68" s="246" t="s">
        <v>173</v>
      </c>
      <c r="C68" s="239" t="s">
        <v>420</v>
      </c>
      <c r="D68" s="285" t="s">
        <v>240</v>
      </c>
      <c r="E68" s="163" t="s">
        <v>174</v>
      </c>
      <c r="F68" s="163"/>
      <c r="G68" s="161">
        <f>ВСР!G55</f>
        <v>750</v>
      </c>
      <c r="H68" s="297"/>
      <c r="I68" s="80"/>
    </row>
    <row r="69" spans="1:9" ht="37.5" x14ac:dyDescent="0.3">
      <c r="A69" s="248" t="s">
        <v>425</v>
      </c>
      <c r="B69" s="246" t="s">
        <v>241</v>
      </c>
      <c r="C69" s="239" t="s">
        <v>420</v>
      </c>
      <c r="D69" s="182" t="s">
        <v>491</v>
      </c>
      <c r="E69" s="163"/>
      <c r="F69" s="163"/>
      <c r="G69" s="161">
        <f>G70</f>
        <v>42.5</v>
      </c>
      <c r="H69" s="297"/>
      <c r="I69" s="80"/>
    </row>
    <row r="70" spans="1:9" ht="37.5" x14ac:dyDescent="0.3">
      <c r="A70" s="248"/>
      <c r="B70" s="246" t="s">
        <v>173</v>
      </c>
      <c r="C70" s="239" t="s">
        <v>420</v>
      </c>
      <c r="D70" s="182" t="s">
        <v>491</v>
      </c>
      <c r="E70" s="163" t="s">
        <v>174</v>
      </c>
      <c r="F70" s="163"/>
      <c r="G70" s="161">
        <f>ВСР!G57</f>
        <v>42.5</v>
      </c>
      <c r="H70" s="297"/>
      <c r="I70" s="80"/>
    </row>
    <row r="71" spans="1:9" ht="75" x14ac:dyDescent="0.3">
      <c r="A71" s="248" t="s">
        <v>426</v>
      </c>
      <c r="B71" s="246" t="s">
        <v>242</v>
      </c>
      <c r="C71" s="239" t="s">
        <v>420</v>
      </c>
      <c r="D71" s="182" t="s">
        <v>492</v>
      </c>
      <c r="E71" s="163"/>
      <c r="F71" s="163"/>
      <c r="G71" s="161">
        <f>G72</f>
        <v>10.8</v>
      </c>
      <c r="H71" s="297"/>
      <c r="I71" s="80"/>
    </row>
    <row r="72" spans="1:9" ht="37.5" x14ac:dyDescent="0.3">
      <c r="A72" s="248"/>
      <c r="B72" s="246" t="s">
        <v>173</v>
      </c>
      <c r="C72" s="239" t="s">
        <v>420</v>
      </c>
      <c r="D72" s="182" t="s">
        <v>492</v>
      </c>
      <c r="E72" s="163" t="s">
        <v>174</v>
      </c>
      <c r="F72" s="163"/>
      <c r="G72" s="161">
        <f>ВСР!G59</f>
        <v>10.8</v>
      </c>
      <c r="H72" s="297"/>
      <c r="I72" s="80"/>
    </row>
    <row r="73" spans="1:9" ht="37.5" x14ac:dyDescent="0.3">
      <c r="A73" s="248" t="s">
        <v>427</v>
      </c>
      <c r="B73" s="246" t="s">
        <v>244</v>
      </c>
      <c r="C73" s="239" t="s">
        <v>420</v>
      </c>
      <c r="D73" s="182" t="s">
        <v>493</v>
      </c>
      <c r="E73" s="163"/>
      <c r="F73" s="163"/>
      <c r="G73" s="161">
        <f>G74</f>
        <v>3255.9</v>
      </c>
      <c r="H73" s="297"/>
      <c r="I73" s="80"/>
    </row>
    <row r="74" spans="1:9" ht="37.5" x14ac:dyDescent="0.3">
      <c r="A74" s="248"/>
      <c r="B74" s="246" t="s">
        <v>173</v>
      </c>
      <c r="C74" s="239" t="s">
        <v>420</v>
      </c>
      <c r="D74" s="182" t="s">
        <v>493</v>
      </c>
      <c r="E74" s="163" t="s">
        <v>174</v>
      </c>
      <c r="F74" s="163"/>
      <c r="G74" s="161">
        <f>ВСР!G61</f>
        <v>3255.9</v>
      </c>
      <c r="H74" s="297"/>
      <c r="I74" s="80"/>
    </row>
    <row r="75" spans="1:9" ht="56.25" x14ac:dyDescent="0.3">
      <c r="A75" s="248" t="s">
        <v>428</v>
      </c>
      <c r="B75" s="256" t="s">
        <v>246</v>
      </c>
      <c r="C75" s="239" t="s">
        <v>420</v>
      </c>
      <c r="D75" s="182" t="s">
        <v>248</v>
      </c>
      <c r="E75" s="163"/>
      <c r="F75" s="163"/>
      <c r="G75" s="161">
        <f>G76</f>
        <v>4649.8999999999996</v>
      </c>
      <c r="H75" s="297"/>
      <c r="I75" s="80"/>
    </row>
    <row r="76" spans="1:9" ht="37.5" x14ac:dyDescent="0.3">
      <c r="A76" s="248"/>
      <c r="B76" s="246" t="s">
        <v>173</v>
      </c>
      <c r="C76" s="239" t="s">
        <v>420</v>
      </c>
      <c r="D76" s="182" t="s">
        <v>248</v>
      </c>
      <c r="E76" s="163" t="s">
        <v>174</v>
      </c>
      <c r="F76" s="163"/>
      <c r="G76" s="161">
        <f>ВСР!G63</f>
        <v>4649.8999999999996</v>
      </c>
      <c r="H76" s="297"/>
      <c r="I76" s="80"/>
    </row>
    <row r="77" spans="1:9" ht="56.25" x14ac:dyDescent="0.3">
      <c r="A77" s="248" t="s">
        <v>504</v>
      </c>
      <c r="B77" s="168" t="s">
        <v>505</v>
      </c>
      <c r="C77" s="163" t="s">
        <v>420</v>
      </c>
      <c r="D77" s="160" t="s">
        <v>506</v>
      </c>
      <c r="E77" s="296"/>
      <c r="F77" s="171"/>
      <c r="G77" s="161">
        <f>G78</f>
        <v>20000</v>
      </c>
    </row>
    <row r="78" spans="1:9" ht="37.5" x14ac:dyDescent="0.3">
      <c r="A78" s="248"/>
      <c r="B78" s="168" t="s">
        <v>173</v>
      </c>
      <c r="C78" s="163" t="s">
        <v>420</v>
      </c>
      <c r="D78" s="160" t="s">
        <v>506</v>
      </c>
      <c r="E78" s="160" t="s">
        <v>174</v>
      </c>
      <c r="F78" s="160" t="s">
        <v>174</v>
      </c>
      <c r="G78" s="161">
        <f>ВСР!G65</f>
        <v>20000</v>
      </c>
    </row>
    <row r="79" spans="1:9" ht="18.75" x14ac:dyDescent="0.3">
      <c r="A79" s="262" t="s">
        <v>153</v>
      </c>
      <c r="B79" s="268" t="s">
        <v>251</v>
      </c>
      <c r="C79" s="235" t="s">
        <v>429</v>
      </c>
      <c r="D79" s="286"/>
      <c r="E79" s="173"/>
      <c r="F79" s="173"/>
      <c r="G79" s="298">
        <f>G81</f>
        <v>20</v>
      </c>
    </row>
    <row r="80" spans="1:9" ht="18.75" x14ac:dyDescent="0.3">
      <c r="A80" s="248" t="s">
        <v>430</v>
      </c>
      <c r="B80" s="246" t="s">
        <v>254</v>
      </c>
      <c r="C80" s="239" t="s">
        <v>416</v>
      </c>
      <c r="D80" s="285"/>
      <c r="E80" s="163"/>
      <c r="F80" s="163"/>
      <c r="G80" s="161">
        <f>G81</f>
        <v>20</v>
      </c>
    </row>
    <row r="81" spans="1:7" ht="57.75" customHeight="1" x14ac:dyDescent="0.3">
      <c r="A81" s="248" t="s">
        <v>431</v>
      </c>
      <c r="B81" s="246" t="s">
        <v>257</v>
      </c>
      <c r="C81" s="239" t="s">
        <v>432</v>
      </c>
      <c r="D81" s="182" t="str">
        <f>[2]ВСР!E79</f>
        <v>41000 00170</v>
      </c>
      <c r="E81" s="163"/>
      <c r="F81" s="163"/>
      <c r="G81" s="161">
        <f>G82</f>
        <v>20</v>
      </c>
    </row>
    <row r="82" spans="1:7" ht="37.5" x14ac:dyDescent="0.3">
      <c r="A82" s="248"/>
      <c r="B82" s="246" t="s">
        <v>173</v>
      </c>
      <c r="C82" s="239" t="s">
        <v>432</v>
      </c>
      <c r="D82" s="285" t="s">
        <v>258</v>
      </c>
      <c r="E82" s="163" t="s">
        <v>174</v>
      </c>
      <c r="F82" s="163"/>
      <c r="G82" s="161">
        <f>ВСР!G69</f>
        <v>20</v>
      </c>
    </row>
    <row r="83" spans="1:7" ht="18.75" x14ac:dyDescent="0.3">
      <c r="A83" s="262" t="s">
        <v>154</v>
      </c>
      <c r="B83" s="268" t="s">
        <v>261</v>
      </c>
      <c r="C83" s="235" t="s">
        <v>433</v>
      </c>
      <c r="D83" s="282"/>
      <c r="E83" s="173"/>
      <c r="F83" s="173"/>
      <c r="G83" s="298">
        <f>G84+G88+G91</f>
        <v>395.5</v>
      </c>
    </row>
    <row r="84" spans="1:7" ht="38.450000000000003" customHeight="1" x14ac:dyDescent="0.3">
      <c r="A84" s="248" t="s">
        <v>434</v>
      </c>
      <c r="B84" s="269" t="s">
        <v>264</v>
      </c>
      <c r="C84" s="239" t="s">
        <v>416</v>
      </c>
      <c r="D84" s="283"/>
      <c r="E84" s="163"/>
      <c r="F84" s="163"/>
      <c r="G84" s="161">
        <f>G85</f>
        <v>140</v>
      </c>
    </row>
    <row r="85" spans="1:7" ht="20.45" customHeight="1" x14ac:dyDescent="0.3">
      <c r="A85" s="248"/>
      <c r="B85" s="246" t="s">
        <v>267</v>
      </c>
      <c r="C85" s="239" t="s">
        <v>435</v>
      </c>
      <c r="D85" s="163" t="str">
        <f>[2]ВСР!E83</f>
        <v>42801 00180</v>
      </c>
      <c r="E85" s="163"/>
      <c r="F85" s="163"/>
      <c r="G85" s="161">
        <f>G86</f>
        <v>140</v>
      </c>
    </row>
    <row r="86" spans="1:7" ht="90" customHeight="1" x14ac:dyDescent="0.3">
      <c r="A86" s="248"/>
      <c r="B86" s="246" t="s">
        <v>270</v>
      </c>
      <c r="C86" s="239" t="s">
        <v>435</v>
      </c>
      <c r="D86" s="283" t="s">
        <v>268</v>
      </c>
      <c r="E86" s="163"/>
      <c r="F86" s="163"/>
      <c r="G86" s="161">
        <f>G87</f>
        <v>140</v>
      </c>
    </row>
    <row r="87" spans="1:7" ht="37.5" x14ac:dyDescent="0.3">
      <c r="A87" s="248"/>
      <c r="B87" s="246" t="s">
        <v>173</v>
      </c>
      <c r="C87" s="239" t="s">
        <v>435</v>
      </c>
      <c r="D87" s="283" t="s">
        <v>268</v>
      </c>
      <c r="E87" s="163" t="s">
        <v>174</v>
      </c>
      <c r="F87" s="163"/>
      <c r="G87" s="161">
        <f>ВСР!G74</f>
        <v>140</v>
      </c>
    </row>
    <row r="88" spans="1:7" ht="21.75" customHeight="1" x14ac:dyDescent="0.3">
      <c r="A88" s="248" t="s">
        <v>436</v>
      </c>
      <c r="B88" s="246" t="s">
        <v>489</v>
      </c>
      <c r="C88" s="239" t="s">
        <v>433</v>
      </c>
      <c r="D88" s="285"/>
      <c r="E88" s="163"/>
      <c r="F88" s="163"/>
      <c r="G88" s="161">
        <f>G89</f>
        <v>125.5</v>
      </c>
    </row>
    <row r="89" spans="1:7" ht="75.599999999999994" customHeight="1" x14ac:dyDescent="0.3">
      <c r="A89" s="248" t="s">
        <v>437</v>
      </c>
      <c r="B89" s="246" t="s">
        <v>275</v>
      </c>
      <c r="C89" s="239" t="s">
        <v>438</v>
      </c>
      <c r="D89" s="163" t="str">
        <f>[2]ВСР!E87</f>
        <v>79505 00190</v>
      </c>
      <c r="E89" s="163"/>
      <c r="F89" s="163"/>
      <c r="G89" s="161">
        <f>G90</f>
        <v>125.5</v>
      </c>
    </row>
    <row r="90" spans="1:7" ht="37.5" x14ac:dyDescent="0.3">
      <c r="A90" s="248"/>
      <c r="B90" s="246" t="s">
        <v>173</v>
      </c>
      <c r="C90" s="239" t="s">
        <v>438</v>
      </c>
      <c r="D90" s="283" t="s">
        <v>276</v>
      </c>
      <c r="E90" s="163" t="s">
        <v>174</v>
      </c>
      <c r="F90" s="163"/>
      <c r="G90" s="161">
        <f>ВСР!G77</f>
        <v>125.5</v>
      </c>
    </row>
    <row r="91" spans="1:7" ht="23.45" customHeight="1" x14ac:dyDescent="0.3">
      <c r="A91" s="248" t="s">
        <v>439</v>
      </c>
      <c r="B91" s="246" t="s">
        <v>279</v>
      </c>
      <c r="C91" s="239" t="s">
        <v>440</v>
      </c>
      <c r="D91" s="283"/>
      <c r="E91" s="163"/>
      <c r="F91" s="163"/>
      <c r="G91" s="161">
        <f>G92+G94+G96</f>
        <v>130</v>
      </c>
    </row>
    <row r="92" spans="1:7" ht="72.95" customHeight="1" x14ac:dyDescent="0.3">
      <c r="A92" s="248" t="s">
        <v>441</v>
      </c>
      <c r="B92" s="246" t="s">
        <v>282</v>
      </c>
      <c r="C92" s="270" t="s">
        <v>442</v>
      </c>
      <c r="D92" s="163" t="str">
        <f>[2]ВСР!E90</f>
        <v>79506 00510</v>
      </c>
      <c r="E92" s="163"/>
      <c r="F92" s="163"/>
      <c r="G92" s="161">
        <f>G93</f>
        <v>20</v>
      </c>
    </row>
    <row r="93" spans="1:7" ht="37.5" x14ac:dyDescent="0.3">
      <c r="A93" s="248"/>
      <c r="B93" s="246" t="s">
        <v>173</v>
      </c>
      <c r="C93" s="270" t="s">
        <v>442</v>
      </c>
      <c r="D93" s="163" t="str">
        <f>[2]ВСР!E91</f>
        <v>79506 00510</v>
      </c>
      <c r="E93" s="163" t="s">
        <v>174</v>
      </c>
      <c r="F93" s="163"/>
      <c r="G93" s="161">
        <f>ВСР!G80</f>
        <v>20</v>
      </c>
    </row>
    <row r="94" spans="1:7" ht="72.599999999999994" customHeight="1" x14ac:dyDescent="0.3">
      <c r="A94" s="248" t="s">
        <v>443</v>
      </c>
      <c r="B94" s="271" t="s">
        <v>444</v>
      </c>
      <c r="C94" s="239" t="s">
        <v>442</v>
      </c>
      <c r="D94" s="163" t="str">
        <f>[2]ВСР!E92</f>
        <v>79512 00490</v>
      </c>
      <c r="E94" s="163"/>
      <c r="F94" s="163"/>
      <c r="G94" s="161">
        <f>G95</f>
        <v>60</v>
      </c>
    </row>
    <row r="95" spans="1:7" ht="38.450000000000003" customHeight="1" x14ac:dyDescent="0.3">
      <c r="A95" s="248"/>
      <c r="B95" s="246" t="s">
        <v>173</v>
      </c>
      <c r="C95" s="270" t="s">
        <v>442</v>
      </c>
      <c r="D95" s="283" t="s">
        <v>287</v>
      </c>
      <c r="E95" s="163" t="s">
        <v>174</v>
      </c>
      <c r="F95" s="163"/>
      <c r="G95" s="161">
        <f>ВСР!G82</f>
        <v>60</v>
      </c>
    </row>
    <row r="96" spans="1:7" ht="120.75" customHeight="1" x14ac:dyDescent="0.3">
      <c r="A96" s="248" t="s">
        <v>445</v>
      </c>
      <c r="B96" s="246" t="s">
        <v>487</v>
      </c>
      <c r="C96" s="270" t="s">
        <v>442</v>
      </c>
      <c r="D96" s="163" t="str">
        <f>[2]ВСР!E94</f>
        <v>79514 00530</v>
      </c>
      <c r="E96" s="163"/>
      <c r="F96" s="163"/>
      <c r="G96" s="161">
        <f>G97</f>
        <v>50</v>
      </c>
    </row>
    <row r="97" spans="1:7" ht="38.1" customHeight="1" x14ac:dyDescent="0.3">
      <c r="A97" s="248"/>
      <c r="B97" s="246" t="s">
        <v>173</v>
      </c>
      <c r="C97" s="270" t="s">
        <v>442</v>
      </c>
      <c r="D97" s="283" t="s">
        <v>290</v>
      </c>
      <c r="E97" s="163" t="s">
        <v>174</v>
      </c>
      <c r="F97" s="163"/>
      <c r="G97" s="161">
        <f>ВСР!G84</f>
        <v>50</v>
      </c>
    </row>
    <row r="98" spans="1:7" ht="19.5" customHeight="1" x14ac:dyDescent="0.3">
      <c r="A98" s="262" t="s">
        <v>391</v>
      </c>
      <c r="B98" s="268" t="s">
        <v>293</v>
      </c>
      <c r="C98" s="235" t="s">
        <v>446</v>
      </c>
      <c r="D98" s="282"/>
      <c r="E98" s="173"/>
      <c r="F98" s="173"/>
      <c r="G98" s="298">
        <f>G99+G104</f>
        <v>6094.3</v>
      </c>
    </row>
    <row r="99" spans="1:7" ht="21.95" customHeight="1" x14ac:dyDescent="0.3">
      <c r="A99" s="248" t="s">
        <v>447</v>
      </c>
      <c r="B99" s="246" t="s">
        <v>296</v>
      </c>
      <c r="C99" s="239" t="s">
        <v>392</v>
      </c>
      <c r="D99" s="283"/>
      <c r="E99" s="163"/>
      <c r="F99" s="163"/>
      <c r="G99" s="161">
        <f>G100+G102</f>
        <v>5004.6000000000004</v>
      </c>
    </row>
    <row r="100" spans="1:7" ht="55.5" customHeight="1" x14ac:dyDescent="0.3">
      <c r="A100" s="248" t="s">
        <v>448</v>
      </c>
      <c r="B100" s="256" t="s">
        <v>449</v>
      </c>
      <c r="C100" s="239" t="s">
        <v>450</v>
      </c>
      <c r="D100" s="163" t="str">
        <f>[2]ВСР!E98</f>
        <v>45011 00200</v>
      </c>
      <c r="E100" s="163"/>
      <c r="F100" s="163"/>
      <c r="G100" s="161">
        <f>G101</f>
        <v>4032.5</v>
      </c>
    </row>
    <row r="101" spans="1:7" ht="37.5" x14ac:dyDescent="0.3">
      <c r="A101" s="248"/>
      <c r="B101" s="246" t="s">
        <v>173</v>
      </c>
      <c r="C101" s="239" t="s">
        <v>451</v>
      </c>
      <c r="D101" s="283" t="s">
        <v>301</v>
      </c>
      <c r="E101" s="163" t="s">
        <v>174</v>
      </c>
      <c r="F101" s="163"/>
      <c r="G101" s="161">
        <f>ВСР!G88</f>
        <v>4032.5</v>
      </c>
    </row>
    <row r="102" spans="1:7" ht="75" customHeight="1" x14ac:dyDescent="0.3">
      <c r="A102" s="248" t="s">
        <v>471</v>
      </c>
      <c r="B102" s="246" t="s">
        <v>388</v>
      </c>
      <c r="C102" s="239" t="s">
        <v>450</v>
      </c>
      <c r="D102" s="163" t="s">
        <v>503</v>
      </c>
      <c r="E102" s="163"/>
      <c r="F102" s="163"/>
      <c r="G102" s="161">
        <f>G103</f>
        <v>972.1</v>
      </c>
    </row>
    <row r="103" spans="1:7" ht="37.5" x14ac:dyDescent="0.3">
      <c r="A103" s="248"/>
      <c r="B103" s="246" t="s">
        <v>173</v>
      </c>
      <c r="C103" s="239" t="s">
        <v>451</v>
      </c>
      <c r="D103" s="163" t="s">
        <v>503</v>
      </c>
      <c r="E103" s="163" t="s">
        <v>174</v>
      </c>
      <c r="F103" s="163"/>
      <c r="G103" s="161">
        <f>ВСР!G90</f>
        <v>972.1</v>
      </c>
    </row>
    <row r="104" spans="1:7" ht="37.5" x14ac:dyDescent="0.3">
      <c r="A104" s="248" t="s">
        <v>452</v>
      </c>
      <c r="B104" s="246" t="s">
        <v>304</v>
      </c>
      <c r="C104" s="239" t="s">
        <v>399</v>
      </c>
      <c r="D104" s="283"/>
      <c r="E104" s="163"/>
      <c r="F104" s="163"/>
      <c r="G104" s="161">
        <f>G105</f>
        <v>1089.7</v>
      </c>
    </row>
    <row r="105" spans="1:7" ht="53.25" customHeight="1" x14ac:dyDescent="0.3">
      <c r="A105" s="248" t="s">
        <v>453</v>
      </c>
      <c r="B105" s="246" t="s">
        <v>454</v>
      </c>
      <c r="C105" s="239" t="s">
        <v>305</v>
      </c>
      <c r="D105" s="163" t="str">
        <f>[2]ВСР!E101</f>
        <v>45009 00560</v>
      </c>
      <c r="E105" s="163"/>
      <c r="F105" s="163"/>
      <c r="G105" s="161">
        <f>G106</f>
        <v>1089.7</v>
      </c>
    </row>
    <row r="106" spans="1:7" ht="37.5" x14ac:dyDescent="0.3">
      <c r="A106" s="248"/>
      <c r="B106" s="246" t="s">
        <v>173</v>
      </c>
      <c r="C106" s="239" t="s">
        <v>305</v>
      </c>
      <c r="D106" s="283" t="s">
        <v>308</v>
      </c>
      <c r="E106" s="163" t="s">
        <v>174</v>
      </c>
      <c r="F106" s="163"/>
      <c r="G106" s="161">
        <f>ВСР!G93</f>
        <v>1089.7</v>
      </c>
    </row>
    <row r="107" spans="1:7" ht="18.75" x14ac:dyDescent="0.3">
      <c r="A107" s="262" t="s">
        <v>455</v>
      </c>
      <c r="B107" s="272" t="s">
        <v>311</v>
      </c>
      <c r="C107" s="235" t="s">
        <v>456</v>
      </c>
      <c r="D107" s="282"/>
      <c r="E107" s="173"/>
      <c r="F107" s="173"/>
      <c r="G107" s="298">
        <f>G111+G108</f>
        <v>9513.4</v>
      </c>
    </row>
    <row r="108" spans="1:7" ht="18.75" x14ac:dyDescent="0.3">
      <c r="A108" s="239" t="s">
        <v>457</v>
      </c>
      <c r="B108" s="246" t="s">
        <v>314</v>
      </c>
      <c r="C108" s="270" t="s">
        <v>395</v>
      </c>
      <c r="D108" s="283"/>
      <c r="E108" s="163"/>
      <c r="F108" s="163"/>
      <c r="G108" s="161">
        <f>G109</f>
        <v>846.3</v>
      </c>
    </row>
    <row r="109" spans="1:7" ht="56.25" x14ac:dyDescent="0.3">
      <c r="A109" s="248"/>
      <c r="B109" s="246" t="s">
        <v>317</v>
      </c>
      <c r="C109" s="270" t="s">
        <v>458</v>
      </c>
      <c r="D109" s="163" t="str">
        <f>[2]ВСР!E105</f>
        <v>50581 00230</v>
      </c>
      <c r="E109" s="163"/>
      <c r="F109" s="163"/>
      <c r="G109" s="161">
        <f>G110</f>
        <v>846.3</v>
      </c>
    </row>
    <row r="110" spans="1:7" ht="18.75" x14ac:dyDescent="0.3">
      <c r="A110" s="248"/>
      <c r="B110" s="246" t="s">
        <v>320</v>
      </c>
      <c r="C110" s="270" t="s">
        <v>458</v>
      </c>
      <c r="D110" s="283" t="s">
        <v>318</v>
      </c>
      <c r="E110" s="163" t="s">
        <v>321</v>
      </c>
      <c r="F110" s="163" t="s">
        <v>321</v>
      </c>
      <c r="G110" s="161">
        <f>ВСР!G97</f>
        <v>846.3</v>
      </c>
    </row>
    <row r="111" spans="1:7" ht="18.75" x14ac:dyDescent="0.3">
      <c r="A111" s="248" t="s">
        <v>459</v>
      </c>
      <c r="B111" s="246" t="s">
        <v>460</v>
      </c>
      <c r="C111" s="239" t="s">
        <v>399</v>
      </c>
      <c r="D111" s="283"/>
      <c r="E111" s="163"/>
      <c r="F111" s="163"/>
      <c r="G111" s="161">
        <f>G112+G114</f>
        <v>8667.1</v>
      </c>
    </row>
    <row r="112" spans="1:7" ht="75" customHeight="1" x14ac:dyDescent="0.3">
      <c r="A112" s="248" t="s">
        <v>461</v>
      </c>
      <c r="B112" s="257" t="s">
        <v>326</v>
      </c>
      <c r="C112" s="239" t="s">
        <v>462</v>
      </c>
      <c r="D112" s="163" t="str">
        <f>[2]ВСР!E108</f>
        <v>51100 G0860</v>
      </c>
      <c r="E112" s="160"/>
      <c r="F112" s="160"/>
      <c r="G112" s="161">
        <f>G113</f>
        <v>5804</v>
      </c>
    </row>
    <row r="113" spans="1:7" ht="21" customHeight="1" x14ac:dyDescent="0.3">
      <c r="A113" s="248"/>
      <c r="B113" s="252" t="s">
        <v>320</v>
      </c>
      <c r="C113" s="239" t="s">
        <v>462</v>
      </c>
      <c r="D113" s="283" t="s">
        <v>327</v>
      </c>
      <c r="E113" s="163" t="s">
        <v>321</v>
      </c>
      <c r="F113" s="163"/>
      <c r="G113" s="164">
        <f>ВСР!G100</f>
        <v>5804</v>
      </c>
    </row>
    <row r="114" spans="1:7" ht="60.75" customHeight="1" x14ac:dyDescent="0.3">
      <c r="A114" s="248" t="s">
        <v>463</v>
      </c>
      <c r="B114" s="246" t="s">
        <v>330</v>
      </c>
      <c r="C114" s="239" t="s">
        <v>462</v>
      </c>
      <c r="D114" s="182" t="str">
        <f>[2]ВСР!E110</f>
        <v>51100 G0870</v>
      </c>
      <c r="E114" s="163"/>
      <c r="F114" s="163"/>
      <c r="G114" s="164">
        <f>G115</f>
        <v>2863.1</v>
      </c>
    </row>
    <row r="115" spans="1:7" ht="21.95" customHeight="1" x14ac:dyDescent="0.3">
      <c r="A115" s="248"/>
      <c r="B115" s="252" t="s">
        <v>320</v>
      </c>
      <c r="C115" s="239" t="s">
        <v>462</v>
      </c>
      <c r="D115" s="283" t="s">
        <v>331</v>
      </c>
      <c r="E115" s="163" t="s">
        <v>321</v>
      </c>
      <c r="F115" s="163"/>
      <c r="G115" s="164">
        <f>ВСР!G102</f>
        <v>2863.1</v>
      </c>
    </row>
    <row r="116" spans="1:7" ht="21.95" customHeight="1" x14ac:dyDescent="0.3">
      <c r="A116" s="262" t="s">
        <v>464</v>
      </c>
      <c r="B116" s="287" t="s">
        <v>382</v>
      </c>
      <c r="C116" s="235" t="s">
        <v>402</v>
      </c>
      <c r="D116" s="285"/>
      <c r="E116" s="163"/>
      <c r="F116" s="163"/>
      <c r="G116" s="164">
        <f>G117</f>
        <v>60</v>
      </c>
    </row>
    <row r="117" spans="1:7" ht="21.95" customHeight="1" x14ac:dyDescent="0.3">
      <c r="A117" s="248" t="s">
        <v>465</v>
      </c>
      <c r="B117" s="219" t="s">
        <v>383</v>
      </c>
      <c r="C117" s="239" t="s">
        <v>393</v>
      </c>
      <c r="D117" s="285"/>
      <c r="E117" s="163"/>
      <c r="F117" s="163"/>
      <c r="G117" s="164">
        <f>G118</f>
        <v>60</v>
      </c>
    </row>
    <row r="118" spans="1:7" ht="135" customHeight="1" x14ac:dyDescent="0.3">
      <c r="A118" s="248" t="s">
        <v>466</v>
      </c>
      <c r="B118" s="220" t="s">
        <v>381</v>
      </c>
      <c r="C118" s="239" t="s">
        <v>472</v>
      </c>
      <c r="D118" s="285" t="s">
        <v>380</v>
      </c>
      <c r="E118" s="163"/>
      <c r="F118" s="163"/>
      <c r="G118" s="164">
        <f>G119</f>
        <v>60</v>
      </c>
    </row>
    <row r="119" spans="1:7" ht="36" customHeight="1" x14ac:dyDescent="0.3">
      <c r="A119" s="248"/>
      <c r="B119" s="168" t="s">
        <v>173</v>
      </c>
      <c r="C119" s="239" t="s">
        <v>472</v>
      </c>
      <c r="D119" s="285" t="s">
        <v>380</v>
      </c>
      <c r="E119" s="163" t="s">
        <v>174</v>
      </c>
      <c r="F119" s="163"/>
      <c r="G119" s="164">
        <f>ВСР!G106</f>
        <v>60</v>
      </c>
    </row>
    <row r="120" spans="1:7" ht="18.75" x14ac:dyDescent="0.3">
      <c r="A120" s="262" t="s">
        <v>456</v>
      </c>
      <c r="B120" s="268" t="s">
        <v>366</v>
      </c>
      <c r="C120" s="235" t="s">
        <v>412</v>
      </c>
      <c r="D120" s="286"/>
      <c r="E120" s="173"/>
      <c r="F120" s="173"/>
      <c r="G120" s="174">
        <f>G121</f>
        <v>1500</v>
      </c>
    </row>
    <row r="121" spans="1:7" ht="18.75" x14ac:dyDescent="0.3">
      <c r="A121" s="248" t="s">
        <v>473</v>
      </c>
      <c r="B121" s="245" t="s">
        <v>369</v>
      </c>
      <c r="C121" s="239" t="s">
        <v>393</v>
      </c>
      <c r="D121" s="283"/>
      <c r="E121" s="163"/>
      <c r="F121" s="163"/>
      <c r="G121" s="164">
        <f>G122</f>
        <v>1500</v>
      </c>
    </row>
    <row r="122" spans="1:7" ht="174.75" customHeight="1" x14ac:dyDescent="0.3">
      <c r="A122" s="248" t="s">
        <v>474</v>
      </c>
      <c r="B122" s="256" t="s">
        <v>371</v>
      </c>
      <c r="C122" s="239" t="s">
        <v>467</v>
      </c>
      <c r="D122" s="163" t="str">
        <f>[2]ВСР!E131</f>
        <v>45701 00250</v>
      </c>
      <c r="E122" s="163"/>
      <c r="F122" s="163"/>
      <c r="G122" s="164">
        <f>G123</f>
        <v>1500</v>
      </c>
    </row>
    <row r="123" spans="1:7" ht="37.5" x14ac:dyDescent="0.3">
      <c r="A123" s="248"/>
      <c r="B123" s="246" t="s">
        <v>173</v>
      </c>
      <c r="C123" s="239" t="s">
        <v>467</v>
      </c>
      <c r="D123" s="283" t="s">
        <v>372</v>
      </c>
      <c r="E123" s="163" t="s">
        <v>174</v>
      </c>
      <c r="F123" s="163"/>
      <c r="G123" s="164">
        <f>ВСР!G127</f>
        <v>1500</v>
      </c>
    </row>
    <row r="124" spans="1:7" ht="20.25" x14ac:dyDescent="0.3">
      <c r="A124" s="273"/>
      <c r="B124" s="274" t="s">
        <v>375</v>
      </c>
      <c r="C124" s="275"/>
      <c r="D124" s="276"/>
      <c r="E124" s="275"/>
      <c r="F124" s="275"/>
      <c r="G124" s="277">
        <f>G9+G49+G53+G60+G79+G83+G98+G107+G120+G116</f>
        <v>82203.799999999988</v>
      </c>
    </row>
    <row r="125" spans="1:7" ht="18.75" hidden="1" x14ac:dyDescent="0.3">
      <c r="A125" s="278"/>
    </row>
    <row r="126" spans="1:7" ht="18" hidden="1" x14ac:dyDescent="0.25">
      <c r="G126" s="280">
        <v>52719.9</v>
      </c>
    </row>
    <row r="127" spans="1:7" hidden="1" x14ac:dyDescent="0.2"/>
    <row r="128" spans="1:7" hidden="1" x14ac:dyDescent="0.2">
      <c r="E128" s="133" t="s">
        <v>468</v>
      </c>
      <c r="G128" s="73">
        <f>G124-G126</f>
        <v>29483.899999999987</v>
      </c>
    </row>
    <row r="129" spans="7:21" hidden="1" x14ac:dyDescent="0.2"/>
    <row r="130" spans="7:21" hidden="1" x14ac:dyDescent="0.2"/>
    <row r="131" spans="7:21" hidden="1" x14ac:dyDescent="0.2"/>
    <row r="132" spans="7:21" hidden="1" x14ac:dyDescent="0.2"/>
    <row r="133" spans="7:21" hidden="1" x14ac:dyDescent="0.2"/>
    <row r="135" spans="7:21" x14ac:dyDescent="0.2">
      <c r="G135" s="73"/>
    </row>
    <row r="137" spans="7:21" ht="23.25" x14ac:dyDescent="0.35">
      <c r="G137" s="281">
        <f>ВСР!G128-'Прилож.3 Распр.по ассигн.'!G124</f>
        <v>0</v>
      </c>
      <c r="U137" s="299"/>
    </row>
  </sheetData>
  <autoFilter ref="A7:G124"/>
  <mergeCells count="1">
    <mergeCell ref="A6:G6"/>
  </mergeCells>
  <pageMargins left="0.39370078740157483" right="0" top="0.19685039370078741" bottom="0.19685039370078741" header="0.39370078740157483" footer="0.19685039370078741"/>
  <pageSetup scale="68" fitToHeight="0" orientation="portrait" r:id="rId1"/>
  <headerFooter alignWithMargins="0"/>
  <rowBreaks count="5" manualBreakCount="5">
    <brk id="25" max="6" man="1"/>
    <brk id="48" max="6" man="1"/>
    <brk id="74" max="6" man="1"/>
    <brk id="99" max="6" man="1"/>
    <brk id="1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ВСР</vt:lpstr>
      <vt:lpstr>Прилож.3 Распр.по ассигн.</vt:lpstr>
      <vt:lpstr>ВСР!Область_печати</vt:lpstr>
      <vt:lpstr>Доходы!Область_печати</vt:lpstr>
      <vt:lpstr>'Прилож.3 Распр.по ассигн.'!Область_печати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2016-12-21T11:59:41Z</dcterms:modified>
</cp:coreProperties>
</file>