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240" yWindow="2385" windowWidth="14805" windowHeight="5730" activeTab="3"/>
  </bookViews>
  <sheets>
    <sheet name="Доходы" sheetId="11" r:id="rId1"/>
    <sheet name="ВСР" sheetId="8" r:id="rId2"/>
    <sheet name="Прилож.3 Распр.по ассигн." sheetId="9" r:id="rId3"/>
    <sheet name="Приложение 4 Источники" sheetId="10" r:id="rId4"/>
    <sheet name="РАСЧЕТНЫЙ ЛИСТ" sheetId="12" r:id="rId5"/>
  </sheets>
  <externalReferences>
    <externalReference r:id="rId6"/>
    <externalReference r:id="rId7"/>
  </externalReferences>
  <definedNames>
    <definedName name="_xlnm._FilterDatabase" localSheetId="1" hidden="1">ВСР!$A$8:$G$141</definedName>
    <definedName name="_xlnm._FilterDatabase" localSheetId="2" hidden="1">'Прилож.3 Распр.по ассигн.'!$A$7:$F$132</definedName>
    <definedName name="OLE_LINK1_16" localSheetId="1">#REF!</definedName>
    <definedName name="OLE_LINK1_16" localSheetId="2">#REF!</definedName>
    <definedName name="OLE_LINK1_16">#REF!</definedName>
    <definedName name="Spr_MO" localSheetId="1">#REF!</definedName>
    <definedName name="Spr_MO" localSheetId="2">#REF!</definedName>
    <definedName name="Spr_MO">#REF!</definedName>
    <definedName name="Должность" localSheetId="1">'[1]Форма 2005'!#REF!</definedName>
    <definedName name="Должность" localSheetId="2">'[1]Форма 2005'!#REF!</definedName>
    <definedName name="Должность">'[1]Форма 2005'!#REF!</definedName>
    <definedName name="Заголовок1">[1]Справочник!$B$1:$B$111</definedName>
    <definedName name="_xlnm.Print_Area" localSheetId="1">ВСР!$A$1:$I$141</definedName>
    <definedName name="_xlnm.Print_Area" localSheetId="0">Доходы!$A$1:$G$60</definedName>
    <definedName name="_xlnm.Print_Area" localSheetId="2">'Прилож.3 Распр.по ассигн.'!$A$1:$H$134</definedName>
    <definedName name="_xlnm.Print_Area" localSheetId="3">'Приложение 4 Источники'!$A$1:$E$32</definedName>
    <definedName name="орапроа" localSheetId="0">'[1]Форма 2005'!#REF!</definedName>
    <definedName name="орапроа">'[1]Форма 2005'!#REF!</definedName>
    <definedName name="период">[1]Справочник!$D$1:$D$5</definedName>
    <definedName name="районы">[1]Справочник!$C$1:$C$19</definedName>
  </definedNames>
  <calcPr calcId="144525"/>
</workbook>
</file>

<file path=xl/calcChain.xml><?xml version="1.0" encoding="utf-8"?>
<calcChain xmlns="http://schemas.openxmlformats.org/spreadsheetml/2006/main">
  <c r="H64" i="8" l="1"/>
  <c r="G34" i="8" l="1"/>
  <c r="G114" i="8" l="1"/>
  <c r="G17" i="8" l="1"/>
  <c r="G15" i="8"/>
  <c r="K147" i="8" l="1"/>
  <c r="G38" i="9" l="1"/>
  <c r="H38" i="9"/>
  <c r="F38" i="9"/>
  <c r="H138" i="8"/>
  <c r="I138" i="8"/>
  <c r="G138" i="8"/>
  <c r="H137" i="8"/>
  <c r="G39" i="9" l="1"/>
  <c r="H39" i="9"/>
  <c r="F39" i="9"/>
  <c r="G40" i="9"/>
  <c r="H40" i="9"/>
  <c r="F40" i="9"/>
  <c r="H65" i="8"/>
  <c r="I136" i="8" l="1"/>
  <c r="G136" i="8"/>
  <c r="G135" i="8" l="1"/>
  <c r="H56" i="8"/>
  <c r="H37" i="9"/>
  <c r="H36" i="9" s="1"/>
  <c r="H35" i="9" s="1"/>
  <c r="F37" i="9"/>
  <c r="F36" i="9" s="1"/>
  <c r="F35" i="9" s="1"/>
  <c r="G84" i="9"/>
  <c r="G83" i="9" s="1"/>
  <c r="F84" i="9"/>
  <c r="F83" i="9" s="1"/>
  <c r="I56" i="8"/>
  <c r="I66" i="8"/>
  <c r="H84" i="9" l="1"/>
  <c r="H83" i="9" s="1"/>
  <c r="I65" i="8"/>
  <c r="G18" i="8"/>
  <c r="H136" i="8" l="1"/>
  <c r="H135" i="8" s="1"/>
  <c r="G37" i="9"/>
  <c r="G36" i="9" s="1"/>
  <c r="G35" i="9" s="1"/>
  <c r="G122" i="8"/>
  <c r="I18" i="8"/>
  <c r="H18" i="8"/>
  <c r="H122" i="8" l="1"/>
  <c r="I122" i="8"/>
  <c r="G132" i="8" l="1"/>
  <c r="H134" i="8" l="1"/>
  <c r="H133" i="8" s="1"/>
  <c r="G134" i="8" l="1"/>
  <c r="G133" i="8" s="1"/>
  <c r="I135" i="8"/>
  <c r="I134" i="8" s="1"/>
  <c r="I133" i="8" s="1"/>
  <c r="K102" i="8"/>
  <c r="I64" i="8" l="1"/>
  <c r="G50" i="9" l="1"/>
  <c r="H50" i="9"/>
  <c r="G46" i="9"/>
  <c r="H46" i="9"/>
  <c r="G43" i="9"/>
  <c r="H43" i="9"/>
  <c r="G34" i="9"/>
  <c r="H34" i="9"/>
  <c r="G31" i="9"/>
  <c r="H31" i="9"/>
  <c r="H21" i="9"/>
  <c r="G21" i="9"/>
  <c r="N141" i="8"/>
  <c r="G60" i="8" l="1"/>
  <c r="G105" i="9"/>
  <c r="G104" i="9" s="1"/>
  <c r="H105" i="9"/>
  <c r="H104" i="9" s="1"/>
  <c r="F105" i="9"/>
  <c r="F104" i="9" s="1"/>
  <c r="H86" i="8"/>
  <c r="I86" i="8"/>
  <c r="G86" i="8"/>
  <c r="I54" i="8" l="1"/>
  <c r="H72" i="9" s="1"/>
  <c r="H54" i="8"/>
  <c r="G64" i="8"/>
  <c r="I62" i="8"/>
  <c r="H62" i="8"/>
  <c r="G80" i="9" s="1"/>
  <c r="G62" i="8"/>
  <c r="H74" i="9"/>
  <c r="G56" i="8"/>
  <c r="H70" i="9"/>
  <c r="G70" i="9"/>
  <c r="G72" i="9"/>
  <c r="G74" i="9"/>
  <c r="G76" i="9"/>
  <c r="H76" i="9"/>
  <c r="G78" i="9"/>
  <c r="H78" i="9"/>
  <c r="H80" i="9"/>
  <c r="G82" i="9"/>
  <c r="H82" i="9"/>
  <c r="G88" i="9"/>
  <c r="H88" i="9"/>
  <c r="G92" i="9"/>
  <c r="H92" i="9"/>
  <c r="G95" i="9"/>
  <c r="H95" i="9"/>
  <c r="G97" i="9"/>
  <c r="H97" i="9"/>
  <c r="G109" i="9"/>
  <c r="H109" i="9"/>
  <c r="G114" i="9"/>
  <c r="H114" i="9"/>
  <c r="G111" i="9"/>
  <c r="H111" i="9"/>
  <c r="G123" i="9"/>
  <c r="H123" i="9"/>
  <c r="G118" i="9"/>
  <c r="H118" i="9"/>
  <c r="G121" i="9"/>
  <c r="H121" i="9"/>
  <c r="G131" i="9"/>
  <c r="H131" i="9"/>
  <c r="G127" i="9"/>
  <c r="H127" i="9"/>
  <c r="G60" i="9"/>
  <c r="H60" i="9"/>
  <c r="G56" i="9"/>
  <c r="G55" i="9" s="1"/>
  <c r="H56" i="9"/>
  <c r="F56" i="9"/>
  <c r="F55" i="9" s="1"/>
  <c r="H55" i="9"/>
  <c r="G99" i="9"/>
  <c r="H99" i="9"/>
  <c r="G101" i="9"/>
  <c r="H101" i="9"/>
  <c r="G103" i="9"/>
  <c r="H103" i="9"/>
  <c r="F103" i="9"/>
  <c r="H37" i="8"/>
  <c r="I37" i="8"/>
  <c r="G37" i="8"/>
  <c r="G64" i="9" l="1"/>
  <c r="H64" i="9"/>
  <c r="G66" i="9"/>
  <c r="G65" i="9" s="1"/>
  <c r="H66" i="9"/>
  <c r="F66" i="9"/>
  <c r="H65" i="9"/>
  <c r="F65" i="9"/>
  <c r="H47" i="8"/>
  <c r="I47" i="8"/>
  <c r="G47" i="8"/>
  <c r="G22" i="9"/>
  <c r="H22" i="9"/>
  <c r="G18" i="9"/>
  <c r="H18" i="9"/>
  <c r="H34" i="8"/>
  <c r="G52" i="9" s="1"/>
  <c r="I34" i="8"/>
  <c r="H52" i="9" s="1"/>
  <c r="H114" i="8"/>
  <c r="I114" i="8"/>
  <c r="G117" i="8"/>
  <c r="H117" i="8"/>
  <c r="G16" i="9" s="1"/>
  <c r="I117" i="8"/>
  <c r="H16" i="9" s="1"/>
  <c r="G121" i="8"/>
  <c r="G120" i="8" s="1"/>
  <c r="H121" i="8"/>
  <c r="G20" i="9" s="1"/>
  <c r="I121" i="8"/>
  <c r="H20" i="9" s="1"/>
  <c r="H17" i="8"/>
  <c r="G27" i="9" s="1"/>
  <c r="I17" i="8"/>
  <c r="H27" i="9" s="1"/>
  <c r="H15" i="8"/>
  <c r="G25" i="9" s="1"/>
  <c r="G24" i="9" s="1"/>
  <c r="I15" i="8"/>
  <c r="H25" i="9" s="1"/>
  <c r="H24" i="9" s="1"/>
  <c r="G13" i="9" l="1"/>
  <c r="G12" i="9" s="1"/>
  <c r="G11" i="9" s="1"/>
  <c r="H13" i="9"/>
  <c r="H12" i="9" s="1"/>
  <c r="H11" i="9" s="1"/>
  <c r="H28" i="9"/>
  <c r="G28" i="9"/>
  <c r="N22" i="8" l="1"/>
  <c r="G35" i="8" l="1"/>
  <c r="G33" i="8" s="1"/>
  <c r="I19" i="8" l="1"/>
  <c r="H29" i="9" s="1"/>
  <c r="H19" i="8"/>
  <c r="G29" i="9" s="1"/>
  <c r="G19" i="8"/>
  <c r="I32" i="8"/>
  <c r="H32" i="8"/>
  <c r="G32" i="8"/>
  <c r="I23" i="8" l="1"/>
  <c r="H33" i="9" s="1"/>
  <c r="H23" i="8"/>
  <c r="G33" i="9" s="1"/>
  <c r="G23" i="8"/>
  <c r="I35" i="8" l="1"/>
  <c r="H53" i="9" s="1"/>
  <c r="H35" i="8"/>
  <c r="G53" i="9" s="1"/>
  <c r="H33" i="8" l="1"/>
  <c r="D15" i="10"/>
  <c r="D14" i="10" s="1"/>
  <c r="D13" i="10" s="1"/>
  <c r="E15" i="10"/>
  <c r="E14" i="10" s="1"/>
  <c r="E13" i="10" s="1"/>
  <c r="G130" i="9" l="1"/>
  <c r="G129" i="9" s="1"/>
  <c r="G128" i="9" s="1"/>
  <c r="H130" i="9"/>
  <c r="H129" i="9" s="1"/>
  <c r="H128" i="9" s="1"/>
  <c r="G126" i="9"/>
  <c r="G125" i="9" s="1"/>
  <c r="G124" i="9" s="1"/>
  <c r="H126" i="9"/>
  <c r="H125" i="9" s="1"/>
  <c r="H124" i="9" s="1"/>
  <c r="G122" i="9"/>
  <c r="H122" i="9"/>
  <c r="G120" i="9"/>
  <c r="G119" i="9" s="1"/>
  <c r="H120" i="9"/>
  <c r="H119" i="9" s="1"/>
  <c r="G117" i="9"/>
  <c r="G116" i="9" s="1"/>
  <c r="H117" i="9"/>
  <c r="H116" i="9" s="1"/>
  <c r="G113" i="9"/>
  <c r="G112" i="9" s="1"/>
  <c r="H113" i="9"/>
  <c r="H112" i="9" s="1"/>
  <c r="G110" i="9"/>
  <c r="H110" i="9"/>
  <c r="G108" i="9"/>
  <c r="G107" i="9" s="1"/>
  <c r="H108" i="9"/>
  <c r="H107" i="9" s="1"/>
  <c r="G98" i="9"/>
  <c r="H98" i="9"/>
  <c r="G96" i="9"/>
  <c r="H96" i="9"/>
  <c r="G94" i="9"/>
  <c r="H94" i="9"/>
  <c r="G100" i="9"/>
  <c r="H100" i="9"/>
  <c r="G91" i="9"/>
  <c r="G90" i="9" s="1"/>
  <c r="H91" i="9"/>
  <c r="H90" i="9" s="1"/>
  <c r="G87" i="9"/>
  <c r="G85" i="9" s="1"/>
  <c r="H87" i="9"/>
  <c r="H85" i="9" s="1"/>
  <c r="G81" i="9"/>
  <c r="H81" i="9"/>
  <c r="G79" i="9"/>
  <c r="H79" i="9"/>
  <c r="G77" i="9"/>
  <c r="H77" i="9"/>
  <c r="G75" i="9"/>
  <c r="H75" i="9"/>
  <c r="G73" i="9"/>
  <c r="H73" i="9"/>
  <c r="G71" i="9"/>
  <c r="H71" i="9"/>
  <c r="G69" i="9"/>
  <c r="H69" i="9"/>
  <c r="G63" i="9"/>
  <c r="G62" i="9" s="1"/>
  <c r="H63" i="9"/>
  <c r="H62" i="9" s="1"/>
  <c r="G59" i="9"/>
  <c r="G58" i="9" s="1"/>
  <c r="G57" i="9" s="1"/>
  <c r="H59" i="9"/>
  <c r="H58" i="9" s="1"/>
  <c r="H57" i="9" s="1"/>
  <c r="H102" i="9"/>
  <c r="G102" i="9"/>
  <c r="G51" i="9"/>
  <c r="H51" i="9"/>
  <c r="G49" i="9"/>
  <c r="H49" i="9"/>
  <c r="G45" i="9"/>
  <c r="H45" i="9"/>
  <c r="G42" i="9"/>
  <c r="G41" i="9" s="1"/>
  <c r="H42" i="9"/>
  <c r="H41" i="9" s="1"/>
  <c r="G32" i="9"/>
  <c r="H32" i="9"/>
  <c r="G30" i="9"/>
  <c r="H30" i="9"/>
  <c r="G26" i="9"/>
  <c r="G23" i="9" s="1"/>
  <c r="H26" i="9"/>
  <c r="H23" i="9" s="1"/>
  <c r="G19" i="9"/>
  <c r="H19" i="9"/>
  <c r="G17" i="9"/>
  <c r="H17" i="9"/>
  <c r="G15" i="9"/>
  <c r="H15" i="9"/>
  <c r="H14" i="9" s="1"/>
  <c r="H131" i="8"/>
  <c r="H130" i="8" s="1"/>
  <c r="H129" i="8" s="1"/>
  <c r="I131" i="8"/>
  <c r="I130" i="8" s="1"/>
  <c r="I129" i="8" s="1"/>
  <c r="H127" i="8"/>
  <c r="I127" i="8"/>
  <c r="H125" i="8"/>
  <c r="I125" i="8"/>
  <c r="I124" i="8" s="1"/>
  <c r="H120" i="8"/>
  <c r="I120" i="8"/>
  <c r="H118" i="8"/>
  <c r="I118" i="8"/>
  <c r="H116" i="8"/>
  <c r="I116" i="8"/>
  <c r="H113" i="8"/>
  <c r="H112" i="8" s="1"/>
  <c r="I113" i="8"/>
  <c r="I112" i="8" s="1"/>
  <c r="H108" i="8"/>
  <c r="H107" i="8" s="1"/>
  <c r="H106" i="8" s="1"/>
  <c r="I108" i="8"/>
  <c r="I107" i="8" s="1"/>
  <c r="I106" i="8" s="1"/>
  <c r="H104" i="8"/>
  <c r="I104" i="8"/>
  <c r="H102" i="8"/>
  <c r="H101" i="8" s="1"/>
  <c r="I102" i="8"/>
  <c r="I101" i="8" s="1"/>
  <c r="H99" i="8"/>
  <c r="H98" i="8" s="1"/>
  <c r="I99" i="8"/>
  <c r="I98" i="8" s="1"/>
  <c r="H95" i="8"/>
  <c r="H94" i="8" s="1"/>
  <c r="I95" i="8"/>
  <c r="I94" i="8" s="1"/>
  <c r="H92" i="8"/>
  <c r="I92" i="8"/>
  <c r="H90" i="8"/>
  <c r="H89" i="8" s="1"/>
  <c r="H88" i="8" s="1"/>
  <c r="I90" i="8"/>
  <c r="I89" i="8" s="1"/>
  <c r="I88" i="8" s="1"/>
  <c r="H82" i="8"/>
  <c r="I82" i="8"/>
  <c r="H80" i="8"/>
  <c r="I80" i="8"/>
  <c r="H78" i="8"/>
  <c r="I78" i="8"/>
  <c r="H76" i="8"/>
  <c r="I76" i="8"/>
  <c r="H73" i="8"/>
  <c r="H72" i="8" s="1"/>
  <c r="I73" i="8"/>
  <c r="I72" i="8" s="1"/>
  <c r="H69" i="8"/>
  <c r="H67" i="8" s="1"/>
  <c r="I69" i="8"/>
  <c r="I67" i="8" s="1"/>
  <c r="H63" i="8"/>
  <c r="I63" i="8"/>
  <c r="H61" i="8"/>
  <c r="I61" i="8"/>
  <c r="H59" i="8"/>
  <c r="I59" i="8"/>
  <c r="H57" i="8"/>
  <c r="I57" i="8"/>
  <c r="H55" i="8"/>
  <c r="I55" i="8"/>
  <c r="H53" i="8"/>
  <c r="I53" i="8"/>
  <c r="H51" i="8"/>
  <c r="H50" i="8" s="1"/>
  <c r="I51" i="8"/>
  <c r="I50" i="8" s="1"/>
  <c r="H45" i="8"/>
  <c r="I45" i="8"/>
  <c r="H41" i="8"/>
  <c r="I41" i="8"/>
  <c r="H84" i="8"/>
  <c r="I84" i="8"/>
  <c r="I33" i="8"/>
  <c r="H31" i="8"/>
  <c r="I31" i="8"/>
  <c r="H29" i="8"/>
  <c r="H28" i="8" s="1"/>
  <c r="I29" i="8"/>
  <c r="H26" i="8"/>
  <c r="H25" i="8" s="1"/>
  <c r="I26" i="8"/>
  <c r="I25" i="8" s="1"/>
  <c r="H22" i="8"/>
  <c r="I22" i="8"/>
  <c r="H20" i="8"/>
  <c r="I20" i="8"/>
  <c r="H16" i="8"/>
  <c r="I16" i="8"/>
  <c r="H14" i="8"/>
  <c r="I14" i="8"/>
  <c r="G42" i="11"/>
  <c r="G41" i="11" s="1"/>
  <c r="G37" i="11" s="1"/>
  <c r="G17" i="11"/>
  <c r="G14" i="11"/>
  <c r="F21" i="11"/>
  <c r="F14" i="11"/>
  <c r="F42" i="11"/>
  <c r="F41" i="11" s="1"/>
  <c r="F37" i="11" s="1"/>
  <c r="F39" i="11"/>
  <c r="G39" i="11"/>
  <c r="F24" i="11"/>
  <c r="G24" i="11"/>
  <c r="G21" i="11"/>
  <c r="F17" i="11"/>
  <c r="F30" i="11"/>
  <c r="F29" i="11" s="1"/>
  <c r="G30" i="11"/>
  <c r="G29" i="11" s="1"/>
  <c r="F31" i="11"/>
  <c r="G31" i="11"/>
  <c r="F34" i="11"/>
  <c r="F33" i="11" s="1"/>
  <c r="G34" i="11"/>
  <c r="G33" i="11" s="1"/>
  <c r="F35" i="11"/>
  <c r="G35" i="11"/>
  <c r="E11" i="11"/>
  <c r="O6" i="12"/>
  <c r="O5" i="12"/>
  <c r="L6" i="12"/>
  <c r="L5" i="12"/>
  <c r="I6" i="12"/>
  <c r="I5" i="12"/>
  <c r="H49" i="8" l="1"/>
  <c r="H68" i="9"/>
  <c r="H67" i="9" s="1"/>
  <c r="G68" i="9"/>
  <c r="G67" i="9" s="1"/>
  <c r="G14" i="9"/>
  <c r="I28" i="8"/>
  <c r="H40" i="8"/>
  <c r="H39" i="8" s="1"/>
  <c r="M6" i="8"/>
  <c r="G48" i="9"/>
  <c r="G47" i="9" s="1"/>
  <c r="G44" i="9" s="1"/>
  <c r="I40" i="8"/>
  <c r="I39" i="8" s="1"/>
  <c r="N6" i="8"/>
  <c r="H48" i="9"/>
  <c r="H47" i="9" s="1"/>
  <c r="H44" i="9" s="1"/>
  <c r="H10" i="9" s="1"/>
  <c r="H75" i="8"/>
  <c r="I75" i="8"/>
  <c r="I71" i="8" s="1"/>
  <c r="H93" i="9"/>
  <c r="H89" i="9" s="1"/>
  <c r="G93" i="9"/>
  <c r="G89" i="9" s="1"/>
  <c r="H71" i="8"/>
  <c r="I44" i="8"/>
  <c r="I43" i="8" s="1"/>
  <c r="H44" i="8"/>
  <c r="H43" i="8" s="1"/>
  <c r="H61" i="9"/>
  <c r="G61" i="9"/>
  <c r="I49" i="8"/>
  <c r="H124" i="8"/>
  <c r="I115" i="8"/>
  <c r="I111" i="8" s="1"/>
  <c r="I110" i="8" s="1"/>
  <c r="H115" i="8"/>
  <c r="H111" i="8" s="1"/>
  <c r="H110" i="8" s="1"/>
  <c r="I13" i="8"/>
  <c r="H13" i="8"/>
  <c r="G115" i="9"/>
  <c r="H115" i="9"/>
  <c r="G106" i="9"/>
  <c r="H106" i="9"/>
  <c r="G86" i="9"/>
  <c r="H86" i="9"/>
  <c r="H97" i="8"/>
  <c r="I97" i="8"/>
  <c r="H68" i="8"/>
  <c r="I68" i="8"/>
  <c r="G13" i="11"/>
  <c r="G12" i="11" s="1"/>
  <c r="G11" i="11" s="1"/>
  <c r="F13" i="11"/>
  <c r="F12" i="11" s="1"/>
  <c r="F11" i="11"/>
  <c r="F53" i="11"/>
  <c r="F52" i="11" s="1"/>
  <c r="G53" i="11"/>
  <c r="G52" i="11" s="1"/>
  <c r="F57" i="11"/>
  <c r="F56" i="11" s="1"/>
  <c r="G57" i="11"/>
  <c r="G56" i="11" s="1"/>
  <c r="G10" i="9" l="1"/>
  <c r="G132" i="9" s="1"/>
  <c r="H132" i="9"/>
  <c r="H152" i="9" s="1"/>
  <c r="J152" i="9" s="1"/>
  <c r="I12" i="8"/>
  <c r="I11" i="8" s="1"/>
  <c r="I141" i="8" s="1"/>
  <c r="H12" i="8"/>
  <c r="H11" i="8" s="1"/>
  <c r="H141" i="8" s="1"/>
  <c r="H146" i="8" s="1"/>
  <c r="G51" i="11"/>
  <c r="G50" i="11" s="1"/>
  <c r="G49" i="11" s="1"/>
  <c r="G60" i="11" s="1"/>
  <c r="F51" i="11"/>
  <c r="F50" i="11" s="1"/>
  <c r="F49" i="11" s="1"/>
  <c r="F60" i="11" s="1"/>
  <c r="L141" i="8" l="1"/>
  <c r="H147" i="8"/>
  <c r="M141" i="8"/>
  <c r="I146" i="8"/>
  <c r="I147" i="8" s="1"/>
  <c r="K132" i="9"/>
  <c r="D20" i="10"/>
  <c r="D19" i="10" s="1"/>
  <c r="D18" i="10" s="1"/>
  <c r="L132" i="9"/>
  <c r="E20" i="10"/>
  <c r="E19" i="10" s="1"/>
  <c r="E18" i="10" s="1"/>
  <c r="E46" i="11"/>
  <c r="E43" i="11"/>
  <c r="E21" i="11"/>
  <c r="E14" i="11"/>
  <c r="E17" i="11"/>
  <c r="R142" i="8" l="1"/>
  <c r="R143" i="8" s="1"/>
  <c r="E17" i="10"/>
  <c r="E12" i="10"/>
  <c r="E11" i="10" s="1"/>
  <c r="D17" i="10"/>
  <c r="D12" i="10"/>
  <c r="D11" i="10" s="1"/>
  <c r="E13" i="11"/>
  <c r="E57" i="11" l="1"/>
  <c r="E56" i="11" s="1"/>
  <c r="E53" i="11"/>
  <c r="E52" i="11" s="1"/>
  <c r="E42" i="11"/>
  <c r="E41" i="11" s="1"/>
  <c r="E39" i="11"/>
  <c r="E35" i="11"/>
  <c r="E34" i="11"/>
  <c r="E33" i="11" s="1"/>
  <c r="E31" i="11"/>
  <c r="E30" i="11"/>
  <c r="E24" i="11"/>
  <c r="E37" i="11" l="1"/>
  <c r="E51" i="11"/>
  <c r="E29" i="11"/>
  <c r="E50" i="11" l="1"/>
  <c r="E49" i="11" s="1"/>
  <c r="E12" i="11"/>
  <c r="E60" i="11" l="1"/>
  <c r="G73" i="8" l="1"/>
  <c r="G31" i="8" l="1"/>
  <c r="G125" i="8"/>
  <c r="F48" i="9" l="1"/>
  <c r="F47" i="9" s="1"/>
  <c r="C15" i="10" l="1"/>
  <c r="C14" i="10" s="1"/>
  <c r="C13" i="10" s="1"/>
  <c r="F131" i="9" l="1"/>
  <c r="F130" i="9" s="1"/>
  <c r="F129" i="9" s="1"/>
  <c r="F128" i="9" s="1"/>
  <c r="F127" i="9"/>
  <c r="F126" i="9" s="1"/>
  <c r="F125" i="9" s="1"/>
  <c r="F124" i="9" s="1"/>
  <c r="F123" i="9"/>
  <c r="F122" i="9" s="1"/>
  <c r="F121" i="9"/>
  <c r="F120" i="9" s="1"/>
  <c r="F118" i="9"/>
  <c r="F117" i="9" s="1"/>
  <c r="F116" i="9" s="1"/>
  <c r="F114" i="9"/>
  <c r="F113" i="9" s="1"/>
  <c r="F112" i="9" s="1"/>
  <c r="F111" i="9"/>
  <c r="F110" i="9" s="1"/>
  <c r="F109" i="9"/>
  <c r="F108" i="9" s="1"/>
  <c r="F99" i="9"/>
  <c r="F98" i="9" s="1"/>
  <c r="F97" i="9"/>
  <c r="F96" i="9" s="1"/>
  <c r="F95" i="9"/>
  <c r="F94" i="9" s="1"/>
  <c r="F101" i="9"/>
  <c r="F100" i="9" s="1"/>
  <c r="F92" i="9"/>
  <c r="F91" i="9" s="1"/>
  <c r="F90" i="9" s="1"/>
  <c r="F88" i="9"/>
  <c r="F87" i="9" s="1"/>
  <c r="F82" i="9"/>
  <c r="F81" i="9" s="1"/>
  <c r="F80" i="9"/>
  <c r="F79" i="9" s="1"/>
  <c r="F78" i="9"/>
  <c r="F77" i="9" s="1"/>
  <c r="F76" i="9"/>
  <c r="F75" i="9" s="1"/>
  <c r="F74" i="9"/>
  <c r="F73" i="9" s="1"/>
  <c r="F72" i="9"/>
  <c r="F71" i="9" s="1"/>
  <c r="F70" i="9"/>
  <c r="F69" i="9" s="1"/>
  <c r="F64" i="9"/>
  <c r="F63" i="9" s="1"/>
  <c r="F62" i="9" s="1"/>
  <c r="F60" i="9"/>
  <c r="F59" i="9" s="1"/>
  <c r="F58" i="9" s="1"/>
  <c r="F57" i="9" s="1"/>
  <c r="F102" i="9"/>
  <c r="F53" i="9"/>
  <c r="F52" i="9"/>
  <c r="F50" i="9"/>
  <c r="F49" i="9" s="1"/>
  <c r="F46" i="9"/>
  <c r="F45" i="9" s="1"/>
  <c r="F43" i="9"/>
  <c r="F42" i="9" s="1"/>
  <c r="F41" i="9" s="1"/>
  <c r="F34" i="9"/>
  <c r="F33" i="9"/>
  <c r="F31" i="9"/>
  <c r="F30" i="9" s="1"/>
  <c r="F29" i="9"/>
  <c r="F28" i="9"/>
  <c r="F27" i="9"/>
  <c r="F25" i="9"/>
  <c r="F24" i="9" s="1"/>
  <c r="F22" i="9"/>
  <c r="F21" i="9"/>
  <c r="F20" i="9"/>
  <c r="F18" i="9"/>
  <c r="F17" i="9" s="1"/>
  <c r="F16" i="9"/>
  <c r="F15" i="9" s="1"/>
  <c r="F13" i="9"/>
  <c r="F12" i="9" s="1"/>
  <c r="F11" i="9" s="1"/>
  <c r="D130" i="9"/>
  <c r="D122" i="9"/>
  <c r="D120" i="9"/>
  <c r="D117" i="9"/>
  <c r="D113" i="9"/>
  <c r="D108" i="9"/>
  <c r="D98" i="9"/>
  <c r="D96" i="9"/>
  <c r="D95" i="9"/>
  <c r="D94" i="9"/>
  <c r="D100" i="9"/>
  <c r="D87" i="9"/>
  <c r="D73" i="9"/>
  <c r="D70" i="9"/>
  <c r="D69" i="9"/>
  <c r="D63" i="9"/>
  <c r="D59" i="9"/>
  <c r="D102" i="9"/>
  <c r="D51" i="9"/>
  <c r="D49" i="9"/>
  <c r="D45" i="9"/>
  <c r="D42" i="9"/>
  <c r="D32" i="9"/>
  <c r="D30" i="9"/>
  <c r="D26" i="9"/>
  <c r="D24" i="9"/>
  <c r="D19" i="9"/>
  <c r="D17" i="9"/>
  <c r="D15" i="9"/>
  <c r="D13" i="9"/>
  <c r="D12" i="9"/>
  <c r="F68" i="9" l="1"/>
  <c r="F51" i="9"/>
  <c r="F44" i="9" s="1"/>
  <c r="F93" i="9"/>
  <c r="F89" i="9" s="1"/>
  <c r="F61" i="9"/>
  <c r="F26" i="9"/>
  <c r="F107" i="9"/>
  <c r="F106" i="9" s="1"/>
  <c r="F119" i="9"/>
  <c r="F115" i="9" s="1"/>
  <c r="F32" i="9"/>
  <c r="F19" i="9"/>
  <c r="F14" i="9" s="1"/>
  <c r="F86" i="9"/>
  <c r="F85" i="9"/>
  <c r="F23" i="9" l="1"/>
  <c r="F10" i="9" s="1"/>
  <c r="F67" i="9" l="1"/>
  <c r="F132" i="9" s="1"/>
  <c r="G92" i="8"/>
  <c r="G108" i="8"/>
  <c r="G107" i="8" s="1"/>
  <c r="G106" i="8" s="1"/>
  <c r="C20" i="10" l="1"/>
  <c r="C19" i="10" s="1"/>
  <c r="C18" i="10" s="1"/>
  <c r="F136" i="9"/>
  <c r="C17" i="10" l="1"/>
  <c r="C12" i="10"/>
  <c r="C11" i="10" s="1"/>
  <c r="G29" i="8"/>
  <c r="G28" i="8" s="1"/>
  <c r="G131" i="8"/>
  <c r="G130" i="8" s="1"/>
  <c r="G129" i="8" s="1"/>
  <c r="G127" i="8"/>
  <c r="G124" i="8" s="1"/>
  <c r="G118" i="8"/>
  <c r="G116" i="8"/>
  <c r="G113" i="8"/>
  <c r="G112" i="8" s="1"/>
  <c r="G104" i="8"/>
  <c r="G102" i="8"/>
  <c r="G95" i="8"/>
  <c r="G94" i="8" s="1"/>
  <c r="G90" i="8"/>
  <c r="G89" i="8" s="1"/>
  <c r="G82" i="8"/>
  <c r="G80" i="8"/>
  <c r="G78" i="8"/>
  <c r="G76" i="8"/>
  <c r="G72" i="8"/>
  <c r="G69" i="8"/>
  <c r="G68" i="8" s="1"/>
  <c r="G63" i="8"/>
  <c r="G61" i="8"/>
  <c r="G59" i="8"/>
  <c r="G57" i="8"/>
  <c r="G55" i="8"/>
  <c r="G53" i="8"/>
  <c r="G51" i="8"/>
  <c r="G50" i="8" s="1"/>
  <c r="G45" i="8"/>
  <c r="G41" i="8"/>
  <c r="G84" i="8"/>
  <c r="G26" i="8"/>
  <c r="G25" i="8" s="1"/>
  <c r="G20" i="8"/>
  <c r="G16" i="8"/>
  <c r="G14" i="8"/>
  <c r="G40" i="8" l="1"/>
  <c r="G39" i="8" s="1"/>
  <c r="L6" i="8"/>
  <c r="G88" i="8"/>
  <c r="G115" i="8"/>
  <c r="G75" i="8"/>
  <c r="G71" i="8" s="1"/>
  <c r="G44" i="8"/>
  <c r="G43" i="8" s="1"/>
  <c r="G111" i="8"/>
  <c r="G110" i="8" s="1"/>
  <c r="G101" i="8"/>
  <c r="G67" i="8"/>
  <c r="G49" i="8" l="1"/>
  <c r="G99" i="8"/>
  <c r="G98" i="8" s="1"/>
  <c r="G97" i="8" s="1"/>
  <c r="G22" i="8"/>
  <c r="G13" i="8" s="1"/>
  <c r="G12" i="8" s="1"/>
  <c r="G11" i="8" l="1"/>
  <c r="G141" i="8" l="1"/>
  <c r="K141" i="8" l="1"/>
  <c r="K148" i="8" s="1"/>
  <c r="J132" i="9"/>
</calcChain>
</file>

<file path=xl/sharedStrings.xml><?xml version="1.0" encoding="utf-8"?>
<sst xmlns="http://schemas.openxmlformats.org/spreadsheetml/2006/main" count="1403" uniqueCount="540">
  <si>
    <t>1.1</t>
  </si>
  <si>
    <t>1.1.1</t>
  </si>
  <si>
    <t>1.1.1.1</t>
  </si>
  <si>
    <t>1.1.2</t>
  </si>
  <si>
    <t>1.1.2.1</t>
  </si>
  <si>
    <t>1.1.2.2</t>
  </si>
  <si>
    <t>1.1.3</t>
  </si>
  <si>
    <t>1.1.3.1</t>
  </si>
  <si>
    <t>1.3</t>
  </si>
  <si>
    <t>1.4</t>
  </si>
  <si>
    <t>903</t>
  </si>
  <si>
    <t>1.5</t>
  </si>
  <si>
    <t>2.1</t>
  </si>
  <si>
    <t>2.1.1.1</t>
  </si>
  <si>
    <t>2</t>
  </si>
  <si>
    <t>2.1.1</t>
  </si>
  <si>
    <t>МО Адмиралтейский округ</t>
  </si>
  <si>
    <t>к Решению Муниципального Совета</t>
  </si>
  <si>
    <t>к  Решению Муниципального Совета</t>
  </si>
  <si>
    <t>№ п.п</t>
  </si>
  <si>
    <t>Наименование</t>
  </si>
  <si>
    <t>Код ГРБС</t>
  </si>
  <si>
    <t>Код ЦСР</t>
  </si>
  <si>
    <t>Код ВР</t>
  </si>
  <si>
    <t>3</t>
  </si>
  <si>
    <t>4</t>
  </si>
  <si>
    <t>5</t>
  </si>
  <si>
    <t>6</t>
  </si>
  <si>
    <t>I.</t>
  </si>
  <si>
    <t>1</t>
  </si>
  <si>
    <t>ОБЩЕГОСУДАРСТВЕННЫЕ ВОПРОСЫ</t>
  </si>
  <si>
    <t>0100</t>
  </si>
  <si>
    <t>1.1.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</si>
  <si>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</si>
  <si>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</si>
  <si>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1.1.1.</t>
  </si>
  <si>
    <t>Глава местной  Администрации</t>
  </si>
  <si>
    <t>00205 00030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</si>
  <si>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</si>
  <si>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</si>
  <si>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1.2</t>
  </si>
  <si>
    <t xml:space="preserve">Содержание и обеспечение деятельности  местной Администрации муниципального образования муниципальный округ Адмиралтейский округ  по решению вопросов местного значения </t>
  </si>
  <si>
    <t>00206 00030</t>
  </si>
  <si>
    <t>1.2.1</t>
  </si>
  <si>
    <t>1.2.2</t>
  </si>
  <si>
    <t>Закупка товаров, работ и услуг для государственных (муниципальных) нужд</t>
  </si>
  <si>
    <t>200</t>
  </si>
  <si>
    <t>1.2.3</t>
  </si>
  <si>
    <t>Иные бюджетные ассигнования</t>
  </si>
  <si>
    <t>800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</si>
  <si>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</si>
  <si>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</si>
  <si>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1.1.4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</si>
  <si>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</si>
  <si>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</si>
  <si>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1.1.4.1</t>
  </si>
  <si>
    <t>1.1.4.2</t>
  </si>
  <si>
    <t>РЕЗЕРВНЫЕ ФОНДЫ</t>
  </si>
  <si>
    <t>0111</t>
  </si>
  <si>
    <t>Резервный фонд местной администрации</t>
  </si>
  <si>
    <t>07001 00060</t>
  </si>
  <si>
    <t>1.2.1.1</t>
  </si>
  <si>
    <t>ДРУГИЕ ОБЩЕГОСУДАРСТВЕННЫЕ ВОПРОСЫ</t>
  </si>
  <si>
    <t>0113</t>
  </si>
  <si>
    <t>1.3.1</t>
  </si>
  <si>
    <t>Формирование и размещение муниципального заказа</t>
  </si>
  <si>
    <t>09201 00070</t>
  </si>
  <si>
    <t>1.3.1.1</t>
  </si>
  <si>
    <t>1.3.2</t>
  </si>
  <si>
    <t>Содержание  Санкт-Петербургского муниципального казенного учреждения "Управление по работе с населением муниципального образования муниципальный округ Адмиралтейский округ"</t>
  </si>
  <si>
    <t>09201 00460</t>
  </si>
  <si>
    <t>1.3.2.1</t>
  </si>
  <si>
    <t>1.3.3</t>
  </si>
  <si>
    <t>1.3.3.1</t>
  </si>
  <si>
    <t>1.3.4</t>
  </si>
  <si>
    <t xml:space="preserve">Муниципальная 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</si>
  <si>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79508 00520</t>
  </si>
  <si>
    <t>1.3.4.1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</si>
  <si>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</si>
  <si>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</si>
  <si>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</si>
  <si>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</si>
  <si>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 программа "Организация мероприятий по подготовке и обучению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муниципального образования муниципальный округ Адмиралтейский округ"</t>
  </si>
  <si>
    <t>21900 00090</t>
  </si>
  <si>
    <t>НАЦИОНАЛЬНАЯ ЭКОНОМИКА</t>
  </si>
  <si>
    <t>0400</t>
  </si>
  <si>
    <t>Другие вопросы в области национальной экономики</t>
  </si>
  <si>
    <t>0412</t>
  </si>
  <si>
    <t>34500 00100</t>
  </si>
  <si>
    <t>ЖИЛИЩНО-КОММУНАЛЬНОЕ ХОЗЯЙСТВО</t>
  </si>
  <si>
    <t>0500</t>
  </si>
  <si>
    <t>БЛАГОУСТРОЙСТВО</t>
  </si>
  <si>
    <t>0503</t>
  </si>
  <si>
    <t>Муниципальная программа "Установка, содержание и ремонт ограждений газонов"</t>
  </si>
  <si>
    <t>60001 00132</t>
  </si>
  <si>
    <t>Муниципальная программа "Установка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</si>
  <si>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Муниципальная программа "Озеленение территорий зеленых насаждений внутриквартального озеленения"</t>
  </si>
  <si>
    <t>60003 00151</t>
  </si>
  <si>
    <t>Муниципальная программа "Организация работ по компенсационному озеленению"</t>
  </si>
  <si>
    <t>Муниципальная программа "Проведение санитарных рубок, удаление аварийных, больных деревьев и кустарников в отношении зеленых насаждений внутриквартального озеленения"</t>
  </si>
  <si>
    <t>Муниципальная программа "Обустройство, содержание  и уборка территории детских площадок"</t>
  </si>
  <si>
    <t>Муниципальная программа "Текущий ремонт  придомовых территорий и дворовых территорий, включая проезды и въезды, пешеходные дорожки"</t>
  </si>
  <si>
    <t>60007 00160</t>
  </si>
  <si>
    <t>ОХРАНА ОКРУЖАЮЩЕЙ СРЕДЫ</t>
  </si>
  <si>
    <t>0600</t>
  </si>
  <si>
    <t>Другие вопросы  в области охраны окружающей среды</t>
  </si>
  <si>
    <t>0605</t>
  </si>
  <si>
    <t>Муниципальная  программа "Участие в мероприятиях по охране окружающей среды в границах  муниципального образования муниципальный округ Адмиралтейский округ"</t>
  </si>
  <si>
    <t>41000 00170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</si>
  <si>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</si>
  <si>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</si>
  <si>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</si>
  <si>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</si>
  <si>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Переподготовка, повышение квалификации</t>
  </si>
  <si>
    <t>42801 00180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</si>
  <si>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</si>
  <si>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Муниципальная  программа "Проведение работ по военно-патриотическому воспитанию граждан Российской Федерации на территории муниципального образования муниципальный округ Адмиралтейский округ"</t>
  </si>
  <si>
    <t>79505 00190</t>
  </si>
  <si>
    <t>ДРУГИЕ ВОПРОСЫ В ОБЛАСТИ ОБРАЗОВАНИЯ</t>
  </si>
  <si>
    <t>0709</t>
  </si>
  <si>
    <t>Муниципальная программа "Участие в деятельности по профилактике правонарушений в Санкт-Петербурге на территории муниципального образования муниципальный округ  Адмиралтейский округ"</t>
  </si>
  <si>
    <t>79506 00510</t>
  </si>
  <si>
    <t>Муниципальная 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</si>
  <si>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79512 00490</t>
  </si>
  <si>
    <t>79514 00530</t>
  </si>
  <si>
    <t>КУЛЬТУРА, КИНЕМАТОГРАФИЯ</t>
  </si>
  <si>
    <t>0800</t>
  </si>
  <si>
    <t>КУЛЬТУРА</t>
  </si>
  <si>
    <t>0801</t>
  </si>
  <si>
    <t>Муниципальная  программа "Организация местных и участие в организации и проведении городских праздничных и иных зрелищных мероприятий"</t>
  </si>
  <si>
    <t xml:space="preserve">0801 </t>
  </si>
  <si>
    <t>45011 00200</t>
  </si>
  <si>
    <t>ДРУГИЕ ВОПРОСЫ В ОБЛАСТИ КУЛЬТУРЫ, КИНЕМАТОГРАФИИ</t>
  </si>
  <si>
    <t>0804</t>
  </si>
  <si>
    <t>Муниципальная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</si>
  <si>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45009 00560</t>
  </si>
  <si>
    <t>СОЦИАЛЬНАЯ ПОЛИТИКА</t>
  </si>
  <si>
    <t>1000</t>
  </si>
  <si>
    <t>Расходы на предоставление доплат к пенсии лицам, замещавшим муниципальные должности и должности муниципальной службы</t>
  </si>
  <si>
    <t>50581 00230</t>
  </si>
  <si>
    <t>Социальное обеспечение и иные выплаты населению</t>
  </si>
  <si>
    <t>300</t>
  </si>
  <si>
    <t>ОХРАНА СЕМЬИ И ДЕТСВА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</si>
  <si>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</si>
  <si>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</si>
  <si>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</si>
  <si>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</si>
  <si>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</si>
  <si>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II.</t>
  </si>
  <si>
    <t xml:space="preserve">МУНИЦИПАЛЬНЫЙ СОВЕТ МУНИЦИПАЛЬНОГО ОБРАЗОВАНИЯ МУНИЦИПАЛЬНЫЙ ОКРУГ АДМИРАЛТЕЙСКИЙ ОКРУГ </t>
  </si>
  <si>
    <t>992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</si>
  <si>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</si>
  <si>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</si>
  <si>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 МО Адмиралтейский округ</t>
  </si>
  <si>
    <t>00201 00010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</si>
  <si>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</si>
  <si>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</si>
  <si>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содержание депутатов муниципального совета, осуществляющих свою деятельность на постоянной основе</t>
  </si>
  <si>
    <t>00203 00021</t>
  </si>
  <si>
    <t>Расходы на выплаты персоналу в целях
обеспечения выполнения функций
государственными (муниципальными)
органами, казенными учреждениями,
органами управления государственными
внебюджетными фондами</t>
  </si>
  <si>
    <t>Компенсация депутатам,  осуществляющим свои полномочия на непостоянной основе</t>
  </si>
  <si>
    <t>00203 00022</t>
  </si>
  <si>
    <t>Аппарат представительного органа муниципального образования</t>
  </si>
  <si>
    <t>00204 00020</t>
  </si>
  <si>
    <t>09205 00440</t>
  </si>
  <si>
    <t>СРЕДСТВА МАССОВОЙ ИНФОРМАЦИИ</t>
  </si>
  <si>
    <t>1200</t>
  </si>
  <si>
    <t>ПЕРИОДИЧЕСКАЯ ПЕЧАТЬ И ИЗДАТЕЛЬСТВА</t>
  </si>
  <si>
    <t>1202</t>
  </si>
  <si>
    <t>Расходы на выпуск и распространение  периодического издания  газеты муниципального образования  МО Адмиралтейский округ "Адмиралтейский Вестник", для опубликования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</si>
  <si>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45701 00250</t>
  </si>
  <si>
    <t>ВСЕГО РАСХОДОВ:</t>
  </si>
  <si>
    <t>1100</t>
  </si>
  <si>
    <t>1102</t>
  </si>
  <si>
    <t>51200 00240</t>
  </si>
  <si>
    <t>Муниципальная программа "Обеспечение условий для развития на территории муниципального образования муниципальный округ Адмиралтейский округ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образования"</t>
  </si>
  <si>
    <t>Физическая культура и спорт</t>
  </si>
  <si>
    <t>Массовый спорт</t>
  </si>
  <si>
    <t>Муниципальная программа «Организация и проведение мероприятий по сохранению и развитию местных традиций и обрядов на территории муниципального образования муниципального округа Адмиралтейский округ»</t>
  </si>
  <si>
    <t>7</t>
  </si>
  <si>
    <t>01</t>
  </si>
  <si>
    <t>02</t>
  </si>
  <si>
    <t>01 02</t>
  </si>
  <si>
    <t>03</t>
  </si>
  <si>
    <t xml:space="preserve">Расходы на содержание депутатов муниципального совета </t>
  </si>
  <si>
    <t>01 03</t>
  </si>
  <si>
    <t xml:space="preserve">01 03 </t>
  </si>
  <si>
    <t>04</t>
  </si>
  <si>
    <t>01 04</t>
  </si>
  <si>
    <t>Резервные фонды</t>
  </si>
  <si>
    <t>11</t>
  </si>
  <si>
    <t>01 11</t>
  </si>
  <si>
    <t>Другие общегосударственные вопросы</t>
  </si>
  <si>
    <t>13</t>
  </si>
  <si>
    <t>01 13</t>
  </si>
  <si>
    <t xml:space="preserve">Муниципальная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</si>
  <si>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 xml:space="preserve"> 09</t>
  </si>
  <si>
    <t>03 09</t>
  </si>
  <si>
    <t>3.2</t>
  </si>
  <si>
    <t>12</t>
  </si>
  <si>
    <t>3.2.1</t>
  </si>
  <si>
    <t>04 12</t>
  </si>
  <si>
    <t>05</t>
  </si>
  <si>
    <t>4.1</t>
  </si>
  <si>
    <t xml:space="preserve"> 03</t>
  </si>
  <si>
    <t>05 03</t>
  </si>
  <si>
    <t>06</t>
  </si>
  <si>
    <t>5.1</t>
  </si>
  <si>
    <t>5.1.1</t>
  </si>
  <si>
    <t>06 05</t>
  </si>
  <si>
    <t>07</t>
  </si>
  <si>
    <t>6.1</t>
  </si>
  <si>
    <t>07 05</t>
  </si>
  <si>
    <t>6.2</t>
  </si>
  <si>
    <t>6.2.1</t>
  </si>
  <si>
    <t>09</t>
  </si>
  <si>
    <t>07 09</t>
  </si>
  <si>
    <t>Муниципальная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</si>
  <si>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08</t>
  </si>
  <si>
    <t>7.1</t>
  </si>
  <si>
    <t>7.1.1</t>
  </si>
  <si>
    <t>Муниципальная программа "Организация местных и участие в организации и проведении городских праздничных и иных зрелищных мероприятий"</t>
  </si>
  <si>
    <t xml:space="preserve">08 01 </t>
  </si>
  <si>
    <t>08 01</t>
  </si>
  <si>
    <t>7.2</t>
  </si>
  <si>
    <t>7.2.1</t>
  </si>
  <si>
    <t>Муниципальная 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</si>
  <si>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8</t>
  </si>
  <si>
    <t>10</t>
  </si>
  <si>
    <t>8.1</t>
  </si>
  <si>
    <t>8.2</t>
  </si>
  <si>
    <t>ОХРАНА СЕМЬИ И ДЕТСТВА</t>
  </si>
  <si>
    <t>8.2.1</t>
  </si>
  <si>
    <t>10 04</t>
  </si>
  <si>
    <t>8.2.2</t>
  </si>
  <si>
    <t>9</t>
  </si>
  <si>
    <t>9.1</t>
  </si>
  <si>
    <t>9.1.1</t>
  </si>
  <si>
    <t>12 02</t>
  </si>
  <si>
    <t>проверка</t>
  </si>
  <si>
    <t>7.1.2</t>
  </si>
  <si>
    <t>11 02</t>
  </si>
  <si>
    <t>10.1</t>
  </si>
  <si>
    <t>10.1.1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</si>
  <si>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Санкт-Петербурге» 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</si>
  <si>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
новых потенциально опасных психоактивных веществ, 
наркомании в Санкт-Петербурге» </t>
  </si>
  <si>
    <t>60002 00133</t>
  </si>
  <si>
    <t>60004 00152</t>
  </si>
  <si>
    <t>60005 00153</t>
  </si>
  <si>
    <t>60006 00160</t>
  </si>
  <si>
    <t>45012 00210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</si>
  <si>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</si>
  <si>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МЕСТНАЯ АДМИНИСТРАЦИЯ МУНИЦИПАЛЬНОГО ОБРАЗОВАНИЯ МУНИЦИПАЛЬНЫЙ ОКРУГ АДМИРАЛТЕЙСКИЙ ОКРУГ</t>
  </si>
  <si>
    <t>Наименование показателя</t>
  </si>
  <si>
    <t>Код источника финансирования дефицита бюджета  по бюджетной классификации</t>
  </si>
  <si>
    <t>Источники финансирования дефицита бюджета - всего:</t>
  </si>
  <si>
    <t>х</t>
  </si>
  <si>
    <t>Изменение остатков  средств  на счетах по учету средств бюджетов</t>
  </si>
  <si>
    <t>000 01 05 00 00 00 0000 000</t>
  </si>
  <si>
    <t xml:space="preserve">Увеличение остатков средств бюджетов 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</si>
  <si>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</si>
  <si>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</si>
  <si>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</si>
  <si>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Увеличение прочих остатков денежных средств бюджетов </t>
  </si>
  <si>
    <t>000 01 05 02 01 00 0000 510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</si>
  <si>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</si>
  <si>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903 01 05 02 01 03 0000 510</t>
  </si>
  <si>
    <t xml:space="preserve">Уменьшение прочих  остатков средств бюджетов 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</si>
  <si>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</si>
  <si>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</si>
  <si>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</si>
  <si>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</si>
  <si>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903 01 05 02 01 03 0000 610</t>
  </si>
  <si>
    <t>Формирование архивных фондов учреждения</t>
  </si>
  <si>
    <t>09202 00071</t>
  </si>
  <si>
    <t>1.3.3.2</t>
  </si>
  <si>
    <t>1.3.3.3</t>
  </si>
  <si>
    <t>4.1.1.</t>
  </si>
  <si>
    <t>4.1.2</t>
  </si>
  <si>
    <t>4.1.3</t>
  </si>
  <si>
    <t>4.1.4</t>
  </si>
  <si>
    <t>4.1.5</t>
  </si>
  <si>
    <t>4.1.6</t>
  </si>
  <si>
    <t>4.1.7</t>
  </si>
  <si>
    <t>Муниципальная   программа "Содействие развитию малого бизнеса на территории муниципального образования муниципальный округ Адмиралтейский округ "</t>
  </si>
  <si>
    <t>Муниципальная программа "Содействие развитию малого  бизнеса на территории муниципального образования муниципальный округ  Адмиралтейский округ "</t>
  </si>
  <si>
    <t>1.2.2.1</t>
  </si>
  <si>
    <t>3.1.1.1</t>
  </si>
  <si>
    <t>4.1.1.1</t>
  </si>
  <si>
    <t>4.1.2.1</t>
  </si>
  <si>
    <t>4.1.3.1</t>
  </si>
  <si>
    <t>4.1.4.1</t>
  </si>
  <si>
    <t>4.1.5.1</t>
  </si>
  <si>
    <t>4.1.6.1</t>
  </si>
  <si>
    <t>4.1.7.1</t>
  </si>
  <si>
    <t>5.1.1.1</t>
  </si>
  <si>
    <t>6.1.1.1</t>
  </si>
  <si>
    <t>6.2.1.1</t>
  </si>
  <si>
    <t>7.1.1.1</t>
  </si>
  <si>
    <t>7.1.2.1</t>
  </si>
  <si>
    <t>7.2.1.1</t>
  </si>
  <si>
    <t>8.1.1.1</t>
  </si>
  <si>
    <t>8.2.1.1</t>
  </si>
  <si>
    <t>8.2.2.1</t>
  </si>
  <si>
    <t>9.1.1.1</t>
  </si>
  <si>
    <t>1.2.3.1</t>
  </si>
  <si>
    <t>1.2.3.2</t>
  </si>
  <si>
    <t>1.2.3.3</t>
  </si>
  <si>
    <t>1,2</t>
  </si>
  <si>
    <t>1,3</t>
  </si>
  <si>
    <t>2,1</t>
  </si>
  <si>
    <t>3,1</t>
  </si>
  <si>
    <t>3.1.1</t>
  </si>
  <si>
    <t>4,1</t>
  </si>
  <si>
    <t>4.1.1</t>
  </si>
  <si>
    <t>5,1</t>
  </si>
  <si>
    <t>6,1</t>
  </si>
  <si>
    <t>6.1.1</t>
  </si>
  <si>
    <t>6,2</t>
  </si>
  <si>
    <t>7,1</t>
  </si>
  <si>
    <t>7,2</t>
  </si>
  <si>
    <t>8,1</t>
  </si>
  <si>
    <t>8.1.1</t>
  </si>
  <si>
    <t>8,2</t>
  </si>
  <si>
    <t>9,1</t>
  </si>
  <si>
    <t>1.1.2.3</t>
  </si>
  <si>
    <t xml:space="preserve">Уменьшение  остатков средств бюджетов </t>
  </si>
  <si>
    <t>000 01 05 00 00 00 0000 600</t>
  </si>
  <si>
    <t>№ п/п</t>
  </si>
  <si>
    <t>Наименование кода дохода  бюджета</t>
  </si>
  <si>
    <t>I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</si>
  <si>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</si>
  <si>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</si>
  <si>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</si>
  <si>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</si>
  <si>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</si>
  <si>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</si>
  <si>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</si>
  <si>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</si>
  <si>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</si>
  <si>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</si>
  <si>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>1.1.1.1.1</t>
  </si>
  <si>
    <t xml:space="preserve"> 1 05 01011 01 0000 110</t>
  </si>
  <si>
    <t>1.1.1.1.2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</si>
  <si>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</si>
  <si>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</si>
  <si>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1.1.1.2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</si>
  <si>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</si>
  <si>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</si>
  <si>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1.1.1.2.1</t>
  </si>
  <si>
    <t xml:space="preserve"> 1 05 01021 01 0000 110</t>
  </si>
  <si>
    <t>1.1.1.2.2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</si>
  <si>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</si>
  <si>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</si>
  <si>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1.1.1.3</t>
  </si>
  <si>
    <t>1 05 01050 01 0000 110</t>
  </si>
  <si>
    <t>Минимальный налог, зачисляемый в бюджеты субъектов Российской Федерации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</si>
  <si>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</si>
  <si>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</si>
  <si>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</si>
  <si>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 xml:space="preserve">Единый налог на вмененный доход для отдельных видов деятельности 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</si>
  <si>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</si>
  <si>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</si>
  <si>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1 05 04000  02 0000 110</t>
  </si>
  <si>
    <t>Налог, взимаемый в связи  с  применением    патентной системы налогообложения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</si>
  <si>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</si>
  <si>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</si>
  <si>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>1 13 00000 00 0000 000</t>
  </si>
  <si>
    <t>ДОХОДЫ ОТ ОКАЗАНИЯ ПЛАТНЫХ УСЛУГ (РАБОТ) И КОМПЕНСАЦИИ ЗАТРАТ ГОСУДАРСТВА</t>
  </si>
  <si>
    <t xml:space="preserve"> 1 13 01000 00 0000 130 </t>
  </si>
  <si>
    <t>Доходы от оказания платных услуг (работ)</t>
  </si>
  <si>
    <t>1 13 01990 00 0000 130</t>
  </si>
  <si>
    <t>Прочие доходы от оказания платных услуг (работ)</t>
  </si>
  <si>
    <t>1.2.1.1.1</t>
  </si>
  <si>
    <t xml:space="preserve"> 1 13 01993 03 0000 130 </t>
  </si>
  <si>
    <t>Прочие доходы от оказания платных услуг (работ) получателями средств бюджетов внутригородских муниципальных образований городов федерального значения</t>
  </si>
  <si>
    <t xml:space="preserve">1 13 02000 00 0000 130 </t>
  </si>
  <si>
    <t>Доходы от компенсации затрат государства</t>
  </si>
  <si>
    <t xml:space="preserve"> 1 13 02990 00 0000 130 </t>
  </si>
  <si>
    <t xml:space="preserve">Прочие доходы от компенсации затрат государства </t>
  </si>
  <si>
    <t>1.2.2.1.1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</si>
  <si>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</si>
  <si>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</si>
  <si>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1.2.2.1.1.1</t>
  </si>
  <si>
    <t>867</t>
  </si>
  <si>
    <t xml:space="preserve"> 1 13 02993 03 0100 130 </t>
  </si>
  <si>
    <t>Средства, составляющие восстановительную стоимость зеленых насаждений внутриквартального озелеления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</si>
  <si>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 xml:space="preserve"> 1 16 00000 00 0000 000</t>
  </si>
  <si>
    <t>ШТРАФЫ, САНКЦИИ, ВОЗМЕЩЕНИЕ УЩЕРБА</t>
  </si>
  <si>
    <t xml:space="preserve"> 1 16 06000 01 0000 140</t>
  </si>
  <si>
    <t>Денежные взыскания (штрафы) за нарушение 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</si>
  <si>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1 16 21000 00 0000 140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</si>
  <si>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</si>
  <si>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322</t>
  </si>
  <si>
    <t>1 16 21030 03 0000 140</t>
  </si>
  <si>
    <t xml:space="preserve"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</si>
  <si>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 xml:space="preserve"> 1 16 90000 00 0000 140</t>
  </si>
  <si>
    <t>Прочие поступления от денежных взысканий (штрафов) и иных сумм в возмещение ущерба</t>
  </si>
  <si>
    <t>1 16 90030 03 0000 140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</si>
  <si>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</si>
  <si>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>1.3.3.1.1</t>
  </si>
  <si>
    <t>806</t>
  </si>
  <si>
    <t>1 16 90030 03 0100 140</t>
  </si>
  <si>
    <t>1.3.3.1.2</t>
  </si>
  <si>
    <t>807</t>
  </si>
  <si>
    <t>1.3.3.1.3</t>
  </si>
  <si>
    <t>808</t>
  </si>
  <si>
    <t>1.3.3.1.4</t>
  </si>
  <si>
    <t>824</t>
  </si>
  <si>
    <t>1.3.3.1.5</t>
  </si>
  <si>
    <t>846</t>
  </si>
  <si>
    <t>1.3.3.1.6</t>
  </si>
  <si>
    <t>1 16 90030 03 0200 140</t>
  </si>
  <si>
    <t>1 17 05030 03 0000 180</t>
  </si>
  <si>
    <t>Прочие неналоговые доходы бюджетов внутригородских муниципальных образований городов федерального значения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</si>
  <si>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</si>
  <si>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</si>
  <si>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</si>
  <si>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</si>
  <si>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2.1.1.1.1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</si>
  <si>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</si>
  <si>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</si>
  <si>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</si>
  <si>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</si>
  <si>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2 02 30 024 03 0000 151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</si>
  <si>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</si>
  <si>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2 02 30024 03 0100 151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</si>
  <si>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</si>
  <si>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2 02 30024 03 0200 151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</si>
  <si>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составлениюпротоколов об административных правонарушениях</t>
  </si>
  <si>
    <t>2 02 30027 00 0000 151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</si>
  <si>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</si>
  <si>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2 02 30027 03 0000 151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</si>
  <si>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</si>
  <si>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2 02 30027 03 0100 151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</si>
  <si>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</si>
  <si>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2 02 30027 03 0200 151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</si>
  <si>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</si>
  <si>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</si>
  <si>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Штрафы за административные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</t>
  </si>
  <si>
    <t>Штрафы за административные правонарушения в области предпринимательской деятельности, предусмотренные статьей 44  Законом Санкт-Петербурга   "Об административных правонарушениях в  Санкт-Петербурге"</t>
  </si>
  <si>
    <t>Код источника доходов</t>
  </si>
  <si>
    <t>Код администратора</t>
  </si>
  <si>
    <t>2018 год</t>
  </si>
  <si>
    <t>Плановый период</t>
  </si>
  <si>
    <t>2019 год</t>
  </si>
  <si>
    <t>2020 год</t>
  </si>
  <si>
    <t>(тыс. руб.)</t>
  </si>
  <si>
    <t>2.1.1.1.1.1</t>
  </si>
  <si>
    <t>2.1.1.1.1.2</t>
  </si>
  <si>
    <t>2.1.1.1.2</t>
  </si>
  <si>
    <t>2.1.1.1.2.1</t>
  </si>
  <si>
    <t>2.1.1.1.2.1.1</t>
  </si>
  <si>
    <t>2.1.1.1.2.1.2</t>
  </si>
  <si>
    <t>Расчет прогнозного значения объема поступлений доходов местного бюджета на 2017г. муниципального образования муниципальный округ Адмиралтейский округ, администрируемых местной Администрацией муниципального образования.</t>
  </si>
  <si>
    <t>код источника доходов</t>
  </si>
  <si>
    <t>Расчет</t>
  </si>
  <si>
    <t>(0+44800+0)/3/1000=</t>
  </si>
  <si>
    <t>*Планируемое количество платных услуг и цены за единицу учлуги за 3 предшествующих финансовых года не менялось, следовательно прогнозный объем поступлений будет аналогичный 2017г.</t>
  </si>
  <si>
    <t>Итого , тыс. руб.</t>
  </si>
  <si>
    <t>(0 - 0)  х 1,0177 + 0=</t>
  </si>
  <si>
    <t>*Прогнозные значения для каждого планового периода определяются равными прогнозному значению на очередной финансовый год без индексации.</t>
  </si>
  <si>
    <t>(0 - 0)  х 1,0174+ 0=</t>
  </si>
  <si>
    <t>(0 - 0)  х 1,0183+ 0=</t>
  </si>
  <si>
    <t>Код раздела и подраздела</t>
  </si>
  <si>
    <t>Источники финансирования дефицита местного бюджета МО Адмиралтейский округ на 2018 год и плановый период 2019 и 2020 годов</t>
  </si>
  <si>
    <t>0,1</t>
  </si>
  <si>
    <t xml:space="preserve">0,1 резерв </t>
  </si>
  <si>
    <t>417,4</t>
  </si>
  <si>
    <t>конс + изменение цифры</t>
  </si>
  <si>
    <t>2592,9</t>
  </si>
  <si>
    <t>58,7</t>
  </si>
  <si>
    <t>1708,8</t>
  </si>
  <si>
    <t>1513,6</t>
  </si>
  <si>
    <t>53,8</t>
  </si>
  <si>
    <t>10,6</t>
  </si>
  <si>
    <t>6.2.2</t>
  </si>
  <si>
    <t>6.2.2.1</t>
  </si>
  <si>
    <t>6.2.3</t>
  </si>
  <si>
    <t>6.2.3.1</t>
  </si>
  <si>
    <t>6.2.4</t>
  </si>
  <si>
    <t>6.2.4.1</t>
  </si>
  <si>
    <t>66,9</t>
  </si>
  <si>
    <t>24,6</t>
  </si>
  <si>
    <t>3.1.2</t>
  </si>
  <si>
    <t>3.1.2.1</t>
  </si>
  <si>
    <t>Муниципальная   программа "Осуществление защиты прав потребителей на территории муниципального образования муниципальный округ Адмиралтейский округ "</t>
  </si>
  <si>
    <t>34501 00101</t>
  </si>
  <si>
    <t>3.2.2</t>
  </si>
  <si>
    <t xml:space="preserve">Муниципальная программа «Противодействие коррупции в органах местного самоуправления МО Адмиралтейский округ» </t>
  </si>
  <si>
    <t>79507 00180</t>
  </si>
  <si>
    <t>6.2.5</t>
  </si>
  <si>
    <t>6.2.5.1</t>
  </si>
  <si>
    <t>221,4</t>
  </si>
  <si>
    <t>233,2</t>
  </si>
  <si>
    <t>Муниципальная  программа "Проведение работ по военно-патриотическому воспитанию населения муниципального образования муниципальный округ Адмиралтейский округ"</t>
  </si>
  <si>
    <t>6.2.6</t>
  </si>
  <si>
    <t>6.2.6.1</t>
  </si>
  <si>
    <t>79515 00521</t>
  </si>
  <si>
    <t>Муниципальная  программа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 муниципальный округ Адмиралтейский округ, социальную и культурную адаптацию мигрантов, профилактику межнациональных (межэтнических) конфликтов»</t>
  </si>
  <si>
    <t>6122,8</t>
  </si>
  <si>
    <t>1001</t>
  </si>
  <si>
    <t>ПЕНСИОННОЕ ОБЕСПЕЧЕНИЕ</t>
  </si>
  <si>
    <t>10 01</t>
  </si>
  <si>
    <t>услов-утв расх.</t>
  </si>
  <si>
    <t>III</t>
  </si>
  <si>
    <t>ИЗБИРАТЕЛЬНАЯ КОМИССИЯ МУНИЦИПАЛЬНОГО ОБРАЗОВАНИЯ МУНИЦИПАЛЬНЫЙ ОКРУГ АДМИРАЛТЕЙСКИЙ ОКРУГ</t>
  </si>
  <si>
    <t>894</t>
  </si>
  <si>
    <t>3.1</t>
  </si>
  <si>
    <t>ОБЕСПЕЧЕНИЕ ПРОВЕДЕНИЯ ВЫБОРОВ  И РЕФЕРЕНДУМОВ</t>
  </si>
  <si>
    <t>0107</t>
  </si>
  <si>
    <t>Расходы на членов избирательной комиссии муниципального образования муниципальный округ Адмиралтейский округ</t>
  </si>
  <si>
    <t>02000 00050</t>
  </si>
  <si>
    <t>3.1.1.1.1</t>
  </si>
  <si>
    <t>Условно утвержденные расходы</t>
  </si>
  <si>
    <t>4.1.8</t>
  </si>
  <si>
    <t>4.1.8.1</t>
  </si>
  <si>
    <t>01 07</t>
  </si>
  <si>
    <t>99999 99999</t>
  </si>
  <si>
    <t>02001 00070</t>
  </si>
  <si>
    <t>Проведение выборов в представительный орган муниципального образования</t>
  </si>
  <si>
    <t>3.1.1.2</t>
  </si>
  <si>
    <t>3.1.1.2.1</t>
  </si>
  <si>
    <t>3.1.1.2.2</t>
  </si>
  <si>
    <t>1.6</t>
  </si>
  <si>
    <t>1.65.1</t>
  </si>
  <si>
    <t>1.6.2</t>
  </si>
  <si>
    <t>1.6.3</t>
  </si>
  <si>
    <t>1.6.4</t>
  </si>
  <si>
    <t>1.6.5</t>
  </si>
  <si>
    <t>1.4.1</t>
  </si>
  <si>
    <t>1.4.2</t>
  </si>
  <si>
    <t>Приложение 1</t>
  </si>
  <si>
    <t>от 13 декабря 2017 года № 27</t>
  </si>
  <si>
    <t>Доходы местного бюджета МО Адмиралтейский округ на 2018 год  и плановый период 2019 и 2020 годов</t>
  </si>
  <si>
    <t>Приложение 2</t>
  </si>
  <si>
    <t>Ведомственная  структура расходов  местного бюджета МО Адмиралтейский округ на 2018 год и плановый период 2019 и 2020 годов</t>
  </si>
  <si>
    <t>Приложение 3</t>
  </si>
  <si>
    <t>Распределение бюджетных ассигнований местного бюджета МО Адмиралтейский округ на 2018 год и плановый период 2019 и 2020 годов</t>
  </si>
  <si>
    <t>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</si>
</sst>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00000"/>
    <numFmt numFmtId="166" formatCode="[=17923658.95]&quot;17 923 658.95&quot;;General"/>
    <numFmt numFmtId="167" formatCode="[=8408334.34]&quot;8 408 334.34&quot;;General"/>
    <numFmt numFmtId="168" formatCode="[=4666077.32]&quot;4 666 077.32&quot;;General"/>
    <numFmt numFmtId="169" formatCode="[=2471880.58]&quot;2 471 880.58&quot;;General"/>
    <numFmt numFmtId="170" formatCode="0.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i/>
      <sz val="9"/>
      <name val="Arial"/>
      <family val="2"/>
    </font>
    <font>
      <b/>
      <i/>
      <sz val="10"/>
      <name val="Arial Cyr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0"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7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0" fillId="0" borderId="0"/>
  </cellStyleXfs>
  <cellXfs count="373">
    <xf numFmtId="0" fontId="0" fillId="0" borderId="0" xfId="0"/>
    <xf numFmtId="0" fontId="7" fillId="0" borderId="0" xfId="1"/>
    <xf numFmtId="0" fontId="12" fillId="0" borderId="3" xfId="1" applyFont="1" applyFill="1" applyBorder="1" applyAlignment="1">
      <alignment wrapText="1"/>
    </xf>
    <xf numFmtId="0" fontId="19" fillId="0" borderId="0" xfId="0" applyFont="1"/>
    <xf numFmtId="0" fontId="0" fillId="0" borderId="0" xfId="0" applyBorder="1"/>
    <xf numFmtId="49" fontId="9" fillId="0" borderId="0" xfId="1" applyNumberFormat="1" applyFont="1" applyAlignment="1">
      <alignment horizontal="left"/>
    </xf>
    <xf numFmtId="49" fontId="9" fillId="0" borderId="0" xfId="1" applyNumberFormat="1" applyFont="1" applyAlignment="1">
      <alignment horizontal="center"/>
    </xf>
    <xf numFmtId="0" fontId="8" fillId="0" borderId="0" xfId="1" applyFont="1" applyAlignment="1"/>
    <xf numFmtId="49" fontId="7" fillId="0" borderId="0" xfId="1" applyNumberFormat="1" applyAlignment="1">
      <alignment wrapText="1"/>
    </xf>
    <xf numFmtId="0" fontId="8" fillId="0" borderId="0" xfId="1" applyFont="1" applyFill="1" applyAlignment="1"/>
    <xf numFmtId="0" fontId="8" fillId="0" borderId="0" xfId="1" applyFont="1" applyFill="1" applyAlignment="1">
      <alignment horizontal="right"/>
    </xf>
    <xf numFmtId="49" fontId="8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Alignment="1">
      <alignment wrapText="1"/>
    </xf>
    <xf numFmtId="49" fontId="9" fillId="0" borderId="0" xfId="1" applyNumberFormat="1" applyFont="1" applyFill="1" applyAlignment="1">
      <alignment horizontal="center"/>
    </xf>
    <xf numFmtId="0" fontId="0" fillId="0" borderId="0" xfId="0" applyFill="1"/>
    <xf numFmtId="49" fontId="21" fillId="0" borderId="3" xfId="1" applyNumberFormat="1" applyFont="1" applyFill="1" applyBorder="1" applyAlignment="1">
      <alignment horizontal="center" wrapText="1"/>
    </xf>
    <xf numFmtId="0" fontId="22" fillId="0" borderId="4" xfId="1" applyFont="1" applyFill="1" applyBorder="1" applyAlignment="1">
      <alignment wrapText="1"/>
    </xf>
    <xf numFmtId="0" fontId="22" fillId="0" borderId="4" xfId="1" applyFont="1" applyFill="1" applyBorder="1" applyAlignment="1">
      <alignment horizontal="center" wrapText="1"/>
    </xf>
    <xf numFmtId="49" fontId="22" fillId="0" borderId="3" xfId="1" applyNumberFormat="1" applyFont="1" applyFill="1" applyBorder="1" applyAlignment="1">
      <alignment horizontal="center" wrapText="1"/>
    </xf>
    <xf numFmtId="164" fontId="22" fillId="0" borderId="3" xfId="1" applyNumberFormat="1" applyFont="1" applyFill="1" applyBorder="1" applyAlignment="1">
      <alignment horizontal="center" wrapText="1"/>
    </xf>
    <xf numFmtId="49" fontId="22" fillId="0" borderId="1" xfId="1" applyNumberFormat="1" applyFont="1" applyFill="1" applyBorder="1" applyAlignment="1">
      <alignment horizontal="center" wrapText="1"/>
    </xf>
    <xf numFmtId="49" fontId="22" fillId="0" borderId="1" xfId="1" applyNumberFormat="1" applyFont="1" applyFill="1" applyBorder="1" applyAlignment="1">
      <alignment horizontal="left" wrapText="1"/>
    </xf>
    <xf numFmtId="164" fontId="22" fillId="0" borderId="1" xfId="1" applyNumberFormat="1" applyFont="1" applyFill="1" applyBorder="1" applyAlignment="1">
      <alignment horizontal="center" wrapText="1"/>
    </xf>
    <xf numFmtId="49" fontId="12" fillId="0" borderId="3" xfId="1" applyNumberFormat="1" applyFont="1" applyFill="1" applyBorder="1" applyAlignment="1">
      <alignment horizontal="center" wrapText="1"/>
    </xf>
    <xf numFmtId="164" fontId="12" fillId="0" borderId="3" xfId="1" applyNumberFormat="1" applyFont="1" applyFill="1" applyBorder="1" applyAlignment="1">
      <alignment horizontal="center" wrapText="1"/>
    </xf>
    <xf numFmtId="49" fontId="12" fillId="0" borderId="1" xfId="1" applyNumberFormat="1" applyFont="1" applyFill="1" applyBorder="1" applyAlignment="1">
      <alignment horizontal="left" wrapText="1"/>
    </xf>
    <xf numFmtId="49" fontId="12" fillId="0" borderId="1" xfId="1" applyNumberFormat="1" applyFont="1" applyFill="1" applyBorder="1" applyAlignment="1">
      <alignment horizontal="center" wrapText="1"/>
    </xf>
    <xf numFmtId="164" fontId="12" fillId="0" borderId="1" xfId="1" applyNumberFormat="1" applyFont="1" applyFill="1" applyBorder="1" applyAlignment="1">
      <alignment horizontal="center" wrapText="1"/>
    </xf>
    <xf numFmtId="49" fontId="12" fillId="0" borderId="3" xfId="1" applyNumberFormat="1" applyFont="1" applyFill="1" applyBorder="1" applyAlignment="1">
      <alignment horizontal="left" wrapText="1"/>
    </xf>
    <xf numFmtId="0" fontId="23" fillId="0" borderId="3" xfId="24" applyFont="1" applyFill="1" applyBorder="1" applyAlignment="1">
      <alignment wrapText="1"/>
    </xf>
    <xf numFmtId="49" fontId="12" fillId="0" borderId="3" xfId="1" applyNumberFormat="1" applyFont="1" applyFill="1" applyBorder="1" applyAlignment="1">
      <alignment wrapText="1"/>
    </xf>
    <xf numFmtId="49" fontId="12" fillId="0" borderId="2" xfId="1" applyNumberFormat="1" applyFont="1" applyFill="1" applyBorder="1" applyAlignment="1">
      <alignment wrapText="1"/>
    </xf>
    <xf numFmtId="49" fontId="12" fillId="0" borderId="2" xfId="1" applyNumberFormat="1" applyFont="1" applyFill="1" applyBorder="1" applyAlignment="1">
      <alignment horizontal="left" wrapText="1"/>
    </xf>
    <xf numFmtId="49" fontId="12" fillId="0" borderId="2" xfId="1" applyNumberFormat="1" applyFont="1" applyFill="1" applyBorder="1" applyAlignment="1">
      <alignment horizontal="center" wrapText="1"/>
    </xf>
    <xf numFmtId="49" fontId="8" fillId="0" borderId="3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center" wrapText="1"/>
    </xf>
    <xf numFmtId="164" fontId="8" fillId="0" borderId="1" xfId="1" applyNumberFormat="1" applyFont="1" applyFill="1" applyBorder="1" applyAlignment="1">
      <alignment horizontal="center" wrapText="1"/>
    </xf>
    <xf numFmtId="49" fontId="22" fillId="0" borderId="4" xfId="1" applyNumberFormat="1" applyFont="1" applyFill="1" applyBorder="1" applyAlignment="1">
      <alignment horizontal="left" wrapText="1"/>
    </xf>
    <xf numFmtId="49" fontId="22" fillId="0" borderId="4" xfId="1" applyNumberFormat="1" applyFont="1" applyFill="1" applyBorder="1" applyAlignment="1">
      <alignment horizontal="center" wrapText="1"/>
    </xf>
    <xf numFmtId="49" fontId="24" fillId="0" borderId="4" xfId="1" applyNumberFormat="1" applyFont="1" applyFill="1" applyBorder="1" applyAlignment="1">
      <alignment wrapText="1"/>
    </xf>
    <xf numFmtId="49" fontId="12" fillId="0" borderId="4" xfId="1" applyNumberFormat="1" applyFont="1" applyFill="1" applyBorder="1" applyAlignment="1">
      <alignment horizontal="center" wrapText="1"/>
    </xf>
    <xf numFmtId="164" fontId="24" fillId="0" borderId="3" xfId="1" applyNumberFormat="1" applyFont="1" applyFill="1" applyBorder="1" applyAlignment="1">
      <alignment horizontal="center" wrapText="1"/>
    </xf>
    <xf numFmtId="49" fontId="12" fillId="0" borderId="4" xfId="1" applyNumberFormat="1" applyFont="1" applyFill="1" applyBorder="1" applyAlignment="1">
      <alignment horizontal="left" wrapText="1"/>
    </xf>
    <xf numFmtId="49" fontId="12" fillId="0" borderId="5" xfId="1" applyNumberFormat="1" applyFont="1" applyFill="1" applyBorder="1" applyAlignment="1">
      <alignment horizontal="center" wrapText="1"/>
    </xf>
    <xf numFmtId="49" fontId="12" fillId="0" borderId="5" xfId="1" applyNumberFormat="1" applyFont="1" applyFill="1" applyBorder="1" applyAlignment="1">
      <alignment wrapText="1"/>
    </xf>
    <xf numFmtId="49" fontId="22" fillId="0" borderId="2" xfId="1" applyNumberFormat="1" applyFont="1" applyFill="1" applyBorder="1" applyAlignment="1">
      <alignment horizontal="left" wrapText="1"/>
    </xf>
    <xf numFmtId="49" fontId="22" fillId="0" borderId="2" xfId="1" applyNumberFormat="1" applyFont="1" applyFill="1" applyBorder="1" applyAlignment="1">
      <alignment horizontal="center" wrapText="1"/>
    </xf>
    <xf numFmtId="165" fontId="12" fillId="0" borderId="2" xfId="1" applyNumberFormat="1" applyFont="1" applyFill="1" applyBorder="1" applyAlignment="1">
      <alignment horizontal="left" vertical="center" wrapText="1"/>
    </xf>
    <xf numFmtId="0" fontId="23" fillId="0" borderId="2" xfId="24" applyFont="1" applyFill="1" applyBorder="1"/>
    <xf numFmtId="0" fontId="23" fillId="0" borderId="2" xfId="24" applyFont="1" applyFill="1" applyBorder="1" applyAlignment="1">
      <alignment wrapText="1"/>
    </xf>
    <xf numFmtId="49" fontId="22" fillId="0" borderId="5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horizontal="center" wrapText="1"/>
    </xf>
    <xf numFmtId="49" fontId="8" fillId="0" borderId="5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wrapText="1"/>
    </xf>
    <xf numFmtId="49" fontId="22" fillId="0" borderId="2" xfId="1" applyNumberFormat="1" applyFont="1" applyFill="1" applyBorder="1" applyAlignment="1">
      <alignment wrapText="1"/>
    </xf>
    <xf numFmtId="49" fontId="8" fillId="0" borderId="2" xfId="1" applyNumberFormat="1" applyFont="1" applyFill="1" applyBorder="1" applyAlignment="1">
      <alignment horizontal="left" vertical="top" wrapText="1"/>
    </xf>
    <xf numFmtId="0" fontId="25" fillId="0" borderId="3" xfId="24" applyFont="1" applyFill="1" applyBorder="1" applyAlignment="1">
      <alignment horizontal="justify"/>
    </xf>
    <xf numFmtId="49" fontId="22" fillId="0" borderId="3" xfId="1" applyNumberFormat="1" applyFont="1" applyFill="1" applyBorder="1" applyAlignment="1">
      <alignment wrapText="1"/>
    </xf>
    <xf numFmtId="49" fontId="26" fillId="0" borderId="1" xfId="1" applyNumberFormat="1" applyFont="1" applyFill="1" applyBorder="1" applyAlignment="1">
      <alignment horizontal="center" wrapText="1"/>
    </xf>
    <xf numFmtId="0" fontId="0" fillId="0" borderId="0" xfId="0" applyFont="1"/>
    <xf numFmtId="0" fontId="23" fillId="0" borderId="3" xfId="25" applyFont="1" applyFill="1" applyBorder="1" applyAlignment="1">
      <alignment wrapText="1"/>
    </xf>
    <xf numFmtId="0" fontId="22" fillId="0" borderId="3" xfId="1" applyFont="1" applyFill="1" applyBorder="1" applyAlignment="1">
      <alignment horizontal="left" wrapText="1"/>
    </xf>
    <xf numFmtId="49" fontId="12" fillId="0" borderId="4" xfId="1" applyNumberFormat="1" applyFont="1" applyFill="1" applyBorder="1" applyAlignment="1">
      <alignment wrapText="1"/>
    </xf>
    <xf numFmtId="49" fontId="8" fillId="0" borderId="3" xfId="1" applyNumberFormat="1" applyFont="1" applyFill="1" applyBorder="1" applyAlignment="1">
      <alignment wrapText="1"/>
    </xf>
    <xf numFmtId="0" fontId="0" fillId="3" borderId="0" xfId="0" applyFill="1"/>
    <xf numFmtId="0" fontId="23" fillId="0" borderId="0" xfId="0" applyFont="1" applyAlignment="1">
      <alignment wrapText="1"/>
    </xf>
    <xf numFmtId="0" fontId="27" fillId="0" borderId="3" xfId="24" applyFont="1" applyFill="1" applyBorder="1" applyAlignment="1">
      <alignment wrapText="1"/>
    </xf>
    <xf numFmtId="49" fontId="23" fillId="0" borderId="3" xfId="0" applyNumberFormat="1" applyFont="1" applyBorder="1" applyAlignment="1">
      <alignment wrapText="1"/>
    </xf>
    <xf numFmtId="49" fontId="9" fillId="0" borderId="0" xfId="1" applyNumberFormat="1" applyFont="1" applyAlignment="1">
      <alignment horizontal="right"/>
    </xf>
    <xf numFmtId="0" fontId="9" fillId="0" borderId="0" xfId="1" applyNumberFormat="1" applyFont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NumberFormat="1" applyFont="1" applyAlignment="1"/>
    <xf numFmtId="0" fontId="7" fillId="0" borderId="0" xfId="1" applyFill="1"/>
    <xf numFmtId="49" fontId="8" fillId="0" borderId="0" xfId="1" applyNumberFormat="1" applyFont="1" applyAlignment="1">
      <alignment horizontal="right" wrapText="1"/>
    </xf>
    <xf numFmtId="49" fontId="9" fillId="0" borderId="0" xfId="1" applyNumberFormat="1" applyFont="1" applyAlignment="1">
      <alignment horizontal="center" wrapText="1"/>
    </xf>
    <xf numFmtId="49" fontId="8" fillId="2" borderId="1" xfId="1" applyNumberFormat="1" applyFont="1" applyFill="1" applyBorder="1" applyAlignment="1">
      <alignment horizontal="center" wrapText="1"/>
    </xf>
    <xf numFmtId="49" fontId="8" fillId="2" borderId="1" xfId="1" applyNumberFormat="1" applyFont="1" applyFill="1" applyBorder="1" applyAlignment="1">
      <alignment horizontal="left" wrapText="1"/>
    </xf>
    <xf numFmtId="0" fontId="7" fillId="0" borderId="0" xfId="1" applyFont="1"/>
    <xf numFmtId="49" fontId="12" fillId="2" borderId="1" xfId="1" applyNumberFormat="1" applyFont="1" applyFill="1" applyBorder="1" applyAlignment="1">
      <alignment horizontal="center" wrapText="1"/>
    </xf>
    <xf numFmtId="49" fontId="12" fillId="2" borderId="3" xfId="1" applyNumberFormat="1" applyFont="1" applyFill="1" applyBorder="1" applyAlignment="1">
      <alignment horizontal="left" wrapText="1"/>
    </xf>
    <xf numFmtId="49" fontId="12" fillId="2" borderId="1" xfId="1" applyNumberFormat="1" applyFont="1" applyFill="1" applyBorder="1" applyAlignment="1">
      <alignment horizontal="left" wrapText="1"/>
    </xf>
    <xf numFmtId="49" fontId="12" fillId="2" borderId="3" xfId="1" applyNumberFormat="1" applyFont="1" applyFill="1" applyBorder="1" applyAlignment="1">
      <alignment horizontal="center" wrapText="1"/>
    </xf>
    <xf numFmtId="49" fontId="12" fillId="2" borderId="3" xfId="1" applyNumberFormat="1" applyFont="1" applyFill="1" applyBorder="1" applyAlignment="1">
      <alignment wrapText="1"/>
    </xf>
    <xf numFmtId="49" fontId="12" fillId="2" borderId="2" xfId="1" applyNumberFormat="1" applyFont="1" applyFill="1" applyBorder="1" applyAlignment="1">
      <alignment wrapText="1"/>
    </xf>
    <xf numFmtId="0" fontId="12" fillId="2" borderId="3" xfId="1" applyFont="1" applyFill="1" applyBorder="1" applyAlignment="1">
      <alignment wrapText="1"/>
    </xf>
    <xf numFmtId="49" fontId="12" fillId="2" borderId="3" xfId="1" applyNumberFormat="1" applyFont="1" applyFill="1" applyBorder="1" applyAlignment="1">
      <alignment horizontal="center"/>
    </xf>
    <xf numFmtId="49" fontId="12" fillId="2" borderId="6" xfId="1" applyNumberFormat="1" applyFont="1" applyFill="1" applyBorder="1" applyAlignment="1">
      <alignment horizontal="left" wrapText="1"/>
    </xf>
    <xf numFmtId="49" fontId="12" fillId="2" borderId="7" xfId="1" applyNumberFormat="1" applyFont="1" applyFill="1" applyBorder="1" applyAlignment="1">
      <alignment horizontal="left" wrapText="1"/>
    </xf>
    <xf numFmtId="0" fontId="23" fillId="2" borderId="3" xfId="26" applyFont="1" applyFill="1" applyBorder="1" applyAlignment="1">
      <alignment wrapText="1"/>
    </xf>
    <xf numFmtId="49" fontId="12" fillId="2" borderId="6" xfId="1" applyNumberFormat="1" applyFont="1" applyFill="1" applyBorder="1" applyAlignment="1">
      <alignment wrapText="1"/>
    </xf>
    <xf numFmtId="49" fontId="12" fillId="2" borderId="5" xfId="1" applyNumberFormat="1" applyFont="1" applyFill="1" applyBorder="1" applyAlignment="1">
      <alignment wrapText="1"/>
    </xf>
    <xf numFmtId="0" fontId="23" fillId="2" borderId="6" xfId="26" applyFont="1" applyFill="1" applyBorder="1" applyAlignment="1">
      <alignment wrapText="1"/>
    </xf>
    <xf numFmtId="49" fontId="12" fillId="2" borderId="2" xfId="1" applyNumberFormat="1" applyFont="1" applyFill="1" applyBorder="1" applyAlignment="1">
      <alignment horizontal="left" wrapText="1"/>
    </xf>
    <xf numFmtId="0" fontId="23" fillId="2" borderId="3" xfId="27" applyFont="1" applyFill="1" applyBorder="1" applyAlignment="1">
      <alignment wrapText="1"/>
    </xf>
    <xf numFmtId="49" fontId="12" fillId="2" borderId="5" xfId="1" applyNumberFormat="1" applyFont="1" applyFill="1" applyBorder="1" applyAlignment="1">
      <alignment horizontal="left" wrapText="1"/>
    </xf>
    <xf numFmtId="49" fontId="12" fillId="2" borderId="4" xfId="1" applyNumberFormat="1" applyFont="1" applyFill="1" applyBorder="1" applyAlignment="1">
      <alignment wrapText="1"/>
    </xf>
    <xf numFmtId="49" fontId="12" fillId="2" borderId="8" xfId="1" applyNumberFormat="1" applyFont="1" applyFill="1" applyBorder="1" applyAlignment="1">
      <alignment horizontal="left" wrapText="1"/>
    </xf>
    <xf numFmtId="0" fontId="12" fillId="2" borderId="6" xfId="1" applyFont="1" applyFill="1" applyBorder="1" applyAlignment="1">
      <alignment wrapText="1"/>
    </xf>
    <xf numFmtId="49" fontId="8" fillId="2" borderId="3" xfId="1" applyNumberFormat="1" applyFont="1" applyFill="1" applyBorder="1" applyAlignment="1">
      <alignment horizontal="center"/>
    </xf>
    <xf numFmtId="49" fontId="8" fillId="2" borderId="5" xfId="1" applyNumberFormat="1" applyFont="1" applyFill="1" applyBorder="1" applyAlignment="1">
      <alignment horizontal="left" wrapText="1"/>
    </xf>
    <xf numFmtId="165" fontId="12" fillId="2" borderId="5" xfId="1" applyNumberFormat="1" applyFont="1" applyFill="1" applyBorder="1" applyAlignment="1">
      <alignment horizontal="left" vertical="center" wrapText="1"/>
    </xf>
    <xf numFmtId="0" fontId="23" fillId="2" borderId="2" xfId="28" applyFont="1" applyFill="1" applyBorder="1"/>
    <xf numFmtId="0" fontId="23" fillId="2" borderId="2" xfId="28" applyFont="1" applyFill="1" applyBorder="1" applyAlignment="1">
      <alignment wrapText="1"/>
    </xf>
    <xf numFmtId="49" fontId="8" fillId="2" borderId="2" xfId="1" applyNumberFormat="1" applyFont="1" applyFill="1" applyBorder="1" applyAlignment="1">
      <alignment horizontal="left" wrapText="1"/>
    </xf>
    <xf numFmtId="49" fontId="8" fillId="2" borderId="2" xfId="1" applyNumberFormat="1" applyFont="1" applyFill="1" applyBorder="1" applyAlignment="1">
      <alignment wrapText="1"/>
    </xf>
    <xf numFmtId="49" fontId="12" fillId="2" borderId="2" xfId="1" applyNumberFormat="1" applyFont="1" applyFill="1" applyBorder="1" applyAlignment="1">
      <alignment horizontal="left" vertical="top" wrapText="1"/>
    </xf>
    <xf numFmtId="49" fontId="12" fillId="2" borderId="2" xfId="1" applyNumberFormat="1" applyFont="1" applyFill="1" applyBorder="1" applyAlignment="1">
      <alignment horizontal="center" wrapText="1"/>
    </xf>
    <xf numFmtId="0" fontId="25" fillId="2" borderId="3" xfId="26" applyFont="1" applyFill="1" applyBorder="1" applyAlignment="1">
      <alignment horizontal="justify"/>
    </xf>
    <xf numFmtId="49" fontId="8" fillId="2" borderId="3" xfId="1" applyNumberFormat="1" applyFont="1" applyFill="1" applyBorder="1" applyAlignment="1">
      <alignment wrapText="1"/>
    </xf>
    <xf numFmtId="49" fontId="22" fillId="4" borderId="3" xfId="1" applyNumberFormat="1" applyFont="1" applyFill="1" applyBorder="1"/>
    <xf numFmtId="49" fontId="22" fillId="4" borderId="3" xfId="1" applyNumberFormat="1" applyFont="1" applyFill="1" applyBorder="1" applyAlignment="1">
      <alignment wrapText="1"/>
    </xf>
    <xf numFmtId="49" fontId="22" fillId="4" borderId="3" xfId="1" applyNumberFormat="1" applyFont="1" applyFill="1" applyBorder="1" applyAlignment="1">
      <alignment horizontal="center"/>
    </xf>
    <xf numFmtId="0" fontId="22" fillId="4" borderId="3" xfId="1" applyNumberFormat="1" applyFont="1" applyFill="1" applyBorder="1" applyAlignment="1">
      <alignment horizontal="center"/>
    </xf>
    <xf numFmtId="49" fontId="8" fillId="0" borderId="0" xfId="1" applyNumberFormat="1" applyFont="1"/>
    <xf numFmtId="0" fontId="8" fillId="0" borderId="1" xfId="1" applyNumberFormat="1" applyFont="1" applyFill="1" applyBorder="1" applyAlignment="1">
      <alignment horizontal="center" wrapText="1"/>
    </xf>
    <xf numFmtId="0" fontId="12" fillId="0" borderId="1" xfId="1" applyNumberFormat="1" applyFont="1" applyFill="1" applyBorder="1" applyAlignment="1">
      <alignment horizontal="center" wrapText="1"/>
    </xf>
    <xf numFmtId="0" fontId="12" fillId="0" borderId="3" xfId="1" applyNumberFormat="1" applyFont="1" applyFill="1" applyBorder="1" applyAlignment="1">
      <alignment horizontal="center" wrapText="1"/>
    </xf>
    <xf numFmtId="0" fontId="12" fillId="0" borderId="5" xfId="1" applyNumberFormat="1" applyFont="1" applyFill="1" applyBorder="1" applyAlignment="1">
      <alignment horizontal="center" wrapText="1"/>
    </xf>
    <xf numFmtId="0" fontId="8" fillId="0" borderId="5" xfId="1" applyNumberFormat="1" applyFont="1" applyFill="1" applyBorder="1" applyAlignment="1">
      <alignment horizontal="center" wrapText="1"/>
    </xf>
    <xf numFmtId="0" fontId="27" fillId="2" borderId="2" xfId="26" applyFont="1" applyFill="1" applyBorder="1" applyAlignment="1">
      <alignment wrapText="1"/>
    </xf>
    <xf numFmtId="0" fontId="28" fillId="0" borderId="0" xfId="1" applyFont="1"/>
    <xf numFmtId="164" fontId="8" fillId="0" borderId="3" xfId="1" applyNumberFormat="1" applyFont="1" applyFill="1" applyBorder="1" applyAlignment="1">
      <alignment horizontal="center" wrapText="1"/>
    </xf>
    <xf numFmtId="11" fontId="7" fillId="0" borderId="0" xfId="1" applyNumberFormat="1"/>
    <xf numFmtId="0" fontId="30" fillId="0" borderId="0" xfId="0" applyFont="1" applyFill="1"/>
    <xf numFmtId="164" fontId="12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14" fillId="0" borderId="0" xfId="0" applyFont="1"/>
    <xf numFmtId="0" fontId="33" fillId="0" borderId="0" xfId="0" applyFont="1"/>
    <xf numFmtId="0" fontId="14" fillId="0" borderId="0" xfId="0" applyFont="1" applyAlignment="1">
      <alignment wrapText="1"/>
    </xf>
    <xf numFmtId="2" fontId="14" fillId="0" borderId="0" xfId="0" applyNumberFormat="1" applyFont="1"/>
    <xf numFmtId="0" fontId="32" fillId="0" borderId="3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/>
    </xf>
    <xf numFmtId="0" fontId="32" fillId="0" borderId="3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wrapText="1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/>
    <xf numFmtId="49" fontId="26" fillId="0" borderId="2" xfId="1" applyNumberFormat="1" applyFont="1" applyFill="1" applyBorder="1" applyAlignment="1">
      <alignment horizontal="center" wrapText="1"/>
    </xf>
    <xf numFmtId="49" fontId="26" fillId="0" borderId="3" xfId="1" applyNumberFormat="1" applyFont="1" applyFill="1" applyBorder="1" applyAlignment="1">
      <alignment horizontal="center" wrapText="1"/>
    </xf>
    <xf numFmtId="49" fontId="12" fillId="0" borderId="3" xfId="1" applyNumberFormat="1" applyFont="1" applyFill="1" applyBorder="1" applyAlignment="1">
      <alignment horizontal="center"/>
    </xf>
    <xf numFmtId="164" fontId="14" fillId="0" borderId="3" xfId="0" applyNumberFormat="1" applyFont="1" applyBorder="1"/>
    <xf numFmtId="0" fontId="32" fillId="0" borderId="0" xfId="0" applyFont="1" applyAlignment="1">
      <alignment horizontal="right"/>
    </xf>
    <xf numFmtId="0" fontId="9" fillId="0" borderId="0" xfId="1" applyFont="1"/>
    <xf numFmtId="0" fontId="7" fillId="0" borderId="0" xfId="1" applyFont="1" applyFill="1"/>
    <xf numFmtId="0" fontId="36" fillId="0" borderId="0" xfId="48" applyFont="1" applyFill="1"/>
    <xf numFmtId="0" fontId="8" fillId="2" borderId="3" xfId="1" applyFont="1" applyFill="1" applyBorder="1" applyAlignment="1">
      <alignment horizontal="center" vertical="center"/>
    </xf>
    <xf numFmtId="49" fontId="8" fillId="2" borderId="3" xfId="1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37" fillId="5" borderId="0" xfId="1" applyNumberFormat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 wrapText="1"/>
    </xf>
    <xf numFmtId="164" fontId="11" fillId="6" borderId="0" xfId="1" applyNumberFormat="1" applyFont="1" applyFill="1" applyBorder="1" applyAlignment="1">
      <alignment horizontal="center" vertical="center" wrapText="1"/>
    </xf>
    <xf numFmtId="164" fontId="38" fillId="0" borderId="0" xfId="1" applyNumberFormat="1" applyFont="1" applyBorder="1" applyAlignment="1">
      <alignment horizontal="center" vertical="center" wrapText="1"/>
    </xf>
    <xf numFmtId="166" fontId="39" fillId="0" borderId="0" xfId="49" applyNumberFormat="1" applyFont="1" applyBorder="1" applyAlignment="1">
      <alignment horizontal="right"/>
    </xf>
    <xf numFmtId="49" fontId="12" fillId="2" borderId="3" xfId="1" applyNumberFormat="1" applyFont="1" applyFill="1" applyBorder="1" applyAlignment="1">
      <alignment horizontal="center" vertical="center"/>
    </xf>
    <xf numFmtId="49" fontId="12" fillId="2" borderId="3" xfId="1" applyNumberFormat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left" vertical="center" wrapText="1"/>
    </xf>
    <xf numFmtId="164" fontId="12" fillId="0" borderId="3" xfId="1" applyNumberFormat="1" applyFont="1" applyFill="1" applyBorder="1" applyAlignment="1">
      <alignment horizontal="center" vertical="center" wrapText="1"/>
    </xf>
    <xf numFmtId="4" fontId="0" fillId="0" borderId="0" xfId="0" applyNumberFormat="1" applyBorder="1"/>
    <xf numFmtId="167" fontId="39" fillId="0" borderId="0" xfId="49" applyNumberFormat="1" applyFont="1" applyBorder="1" applyAlignment="1">
      <alignment horizontal="right"/>
    </xf>
    <xf numFmtId="167" fontId="0" fillId="0" borderId="0" xfId="0" applyNumberFormat="1" applyBorder="1"/>
    <xf numFmtId="168" fontId="39" fillId="0" borderId="0" xfId="49" applyNumberFormat="1" applyFont="1" applyBorder="1" applyAlignment="1">
      <alignment horizontal="right"/>
    </xf>
    <xf numFmtId="169" fontId="39" fillId="0" borderId="0" xfId="49" applyNumberFormat="1" applyFont="1" applyBorder="1" applyAlignment="1">
      <alignment horizontal="right"/>
    </xf>
    <xf numFmtId="168" fontId="0" fillId="0" borderId="0" xfId="0" applyNumberFormat="1"/>
    <xf numFmtId="164" fontId="0" fillId="0" borderId="0" xfId="0" applyNumberFormat="1" applyBorder="1"/>
    <xf numFmtId="49" fontId="12" fillId="2" borderId="3" xfId="1" applyNumberFormat="1" applyFont="1" applyFill="1" applyBorder="1" applyAlignment="1">
      <alignment horizontal="left" vertical="center" wrapText="1"/>
    </xf>
    <xf numFmtId="164" fontId="34" fillId="0" borderId="0" xfId="0" applyNumberFormat="1" applyFont="1" applyBorder="1"/>
    <xf numFmtId="49" fontId="12" fillId="0" borderId="3" xfId="1" applyNumberFormat="1" applyFont="1" applyFill="1" applyBorder="1" applyAlignment="1">
      <alignment horizontal="center" vertical="center"/>
    </xf>
    <xf numFmtId="49" fontId="12" fillId="0" borderId="3" xfId="1" applyNumberFormat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left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3" fontId="12" fillId="2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164" fontId="0" fillId="0" borderId="0" xfId="0" applyNumberFormat="1" applyBorder="1" applyAlignment="1">
      <alignment vertical="center"/>
    </xf>
    <xf numFmtId="0" fontId="8" fillId="2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vertical="center"/>
    </xf>
    <xf numFmtId="3" fontId="12" fillId="0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8" fillId="2" borderId="3" xfId="1" applyFont="1" applyFill="1" applyBorder="1" applyAlignment="1">
      <alignment vertical="center" wrapText="1"/>
    </xf>
    <xf numFmtId="0" fontId="12" fillId="2" borderId="3" xfId="1" applyFont="1" applyFill="1" applyBorder="1" applyAlignment="1">
      <alignment vertical="center" wrapText="1"/>
    </xf>
    <xf numFmtId="0" fontId="12" fillId="2" borderId="3" xfId="48" applyNumberFormat="1" applyFont="1" applyFill="1" applyBorder="1" applyAlignment="1">
      <alignment vertical="center" wrapText="1"/>
    </xf>
    <xf numFmtId="0" fontId="14" fillId="0" borderId="0" xfId="48" applyFont="1" applyAlignment="1">
      <alignment vertical="center"/>
    </xf>
    <xf numFmtId="164" fontId="7" fillId="0" borderId="0" xfId="1" applyNumberFormat="1" applyFont="1" applyFill="1" applyAlignment="1">
      <alignment horizontal="center"/>
    </xf>
    <xf numFmtId="164" fontId="0" fillId="0" borderId="0" xfId="0" applyNumberFormat="1"/>
    <xf numFmtId="0" fontId="40" fillId="0" borderId="0" xfId="1" applyFont="1"/>
    <xf numFmtId="164" fontId="0" fillId="3" borderId="0" xfId="0" applyNumberFormat="1" applyFill="1"/>
    <xf numFmtId="164" fontId="12" fillId="0" borderId="3" xfId="0" applyNumberFormat="1" applyFont="1" applyFill="1" applyBorder="1" applyAlignment="1">
      <alignment horizontal="center"/>
    </xf>
    <xf numFmtId="0" fontId="8" fillId="0" borderId="0" xfId="1" applyFont="1" applyAlignment="1">
      <alignment horizontal="right"/>
    </xf>
    <xf numFmtId="0" fontId="10" fillId="0" borderId="0" xfId="48" applyFont="1" applyFill="1"/>
    <xf numFmtId="0" fontId="7" fillId="0" borderId="0" xfId="1" applyFill="1" applyBorder="1"/>
    <xf numFmtId="170" fontId="12" fillId="0" borderId="3" xfId="1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/>
    </xf>
    <xf numFmtId="2" fontId="8" fillId="0" borderId="11" xfId="1" applyNumberFormat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/>
    </xf>
    <xf numFmtId="0" fontId="8" fillId="0" borderId="3" xfId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2" fillId="0" borderId="3" xfId="49" applyNumberFormat="1" applyFont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27" fillId="0" borderId="18" xfId="0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 vertical="center"/>
    </xf>
    <xf numFmtId="164" fontId="8" fillId="0" borderId="18" xfId="1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/>
    </xf>
    <xf numFmtId="0" fontId="23" fillId="0" borderId="18" xfId="0" applyFont="1" applyFill="1" applyBorder="1"/>
    <xf numFmtId="164" fontId="12" fillId="0" borderId="18" xfId="1" applyNumberFormat="1" applyFont="1" applyFill="1" applyBorder="1" applyAlignment="1">
      <alignment horizontal="center" vertical="center" wrapText="1"/>
    </xf>
    <xf numFmtId="49" fontId="12" fillId="2" borderId="17" xfId="1" applyNumberFormat="1" applyFont="1" applyFill="1" applyBorder="1" applyAlignment="1">
      <alignment horizontal="center" vertical="center"/>
    </xf>
    <xf numFmtId="49" fontId="12" fillId="0" borderId="17" xfId="1" applyNumberFormat="1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 wrapText="1"/>
    </xf>
    <xf numFmtId="0" fontId="8" fillId="7" borderId="19" xfId="1" applyFont="1" applyFill="1" applyBorder="1" applyAlignment="1">
      <alignment horizontal="center" vertical="center"/>
    </xf>
    <xf numFmtId="0" fontId="8" fillId="7" borderId="20" xfId="1" applyFont="1" applyFill="1" applyBorder="1" applyAlignment="1">
      <alignment horizontal="center" vertical="center"/>
    </xf>
    <xf numFmtId="0" fontId="8" fillId="7" borderId="20" xfId="1" applyFont="1" applyFill="1" applyBorder="1" applyAlignment="1">
      <alignment horizontal="left" vertical="center" wrapText="1"/>
    </xf>
    <xf numFmtId="164" fontId="8" fillId="7" borderId="20" xfId="1" applyNumberFormat="1" applyFont="1" applyFill="1" applyBorder="1" applyAlignment="1">
      <alignment horizontal="center" vertical="center" wrapText="1"/>
    </xf>
    <xf numFmtId="164" fontId="8" fillId="7" borderId="21" xfId="1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wrapText="1"/>
    </xf>
    <xf numFmtId="0" fontId="32" fillId="0" borderId="18" xfId="0" applyFont="1" applyBorder="1" applyAlignment="1">
      <alignment vertical="center" wrapText="1"/>
    </xf>
    <xf numFmtId="0" fontId="32" fillId="0" borderId="4" xfId="0" applyFont="1" applyBorder="1" applyAlignment="1">
      <alignment vertical="center" wrapText="1"/>
    </xf>
    <xf numFmtId="170" fontId="33" fillId="0" borderId="18" xfId="0" applyNumberFormat="1" applyFont="1" applyBorder="1" applyAlignment="1">
      <alignment vertical="center"/>
    </xf>
    <xf numFmtId="170" fontId="33" fillId="0" borderId="4" xfId="0" applyNumberFormat="1" applyFont="1" applyBorder="1" applyAlignment="1">
      <alignment vertical="center"/>
    </xf>
    <xf numFmtId="164" fontId="23" fillId="0" borderId="3" xfId="0" applyNumberFormat="1" applyFont="1" applyFill="1" applyBorder="1" applyAlignment="1">
      <alignment horizontal="center" vertical="center"/>
    </xf>
    <xf numFmtId="170" fontId="23" fillId="0" borderId="3" xfId="0" applyNumberFormat="1" applyFont="1" applyFill="1" applyBorder="1" applyAlignment="1">
      <alignment horizontal="center" vertical="center"/>
    </xf>
    <xf numFmtId="0" fontId="33" fillId="0" borderId="21" xfId="0" applyFont="1" applyBorder="1" applyAlignment="1">
      <alignment vertical="center"/>
    </xf>
    <xf numFmtId="0" fontId="33" fillId="0" borderId="27" xfId="0" applyFont="1" applyBorder="1" applyAlignment="1">
      <alignment vertical="center"/>
    </xf>
    <xf numFmtId="164" fontId="23" fillId="0" borderId="18" xfId="0" applyNumberFormat="1" applyFont="1" applyFill="1" applyBorder="1" applyAlignment="1">
      <alignment horizontal="center" vertical="center"/>
    </xf>
    <xf numFmtId="164" fontId="12" fillId="0" borderId="3" xfId="49" applyNumberFormat="1" applyFont="1" applyFill="1" applyBorder="1" applyAlignment="1">
      <alignment horizontal="center" vertical="center"/>
    </xf>
    <xf numFmtId="164" fontId="8" fillId="0" borderId="3" xfId="49" applyNumberFormat="1" applyFont="1" applyFill="1" applyBorder="1" applyAlignment="1">
      <alignment horizontal="center" vertical="center"/>
    </xf>
    <xf numFmtId="164" fontId="27" fillId="0" borderId="18" xfId="0" applyNumberFormat="1" applyFont="1" applyFill="1" applyBorder="1" applyAlignment="1">
      <alignment horizontal="center" vertical="center"/>
    </xf>
    <xf numFmtId="170" fontId="23" fillId="0" borderId="18" xfId="0" applyNumberFormat="1" applyFont="1" applyFill="1" applyBorder="1" applyAlignment="1">
      <alignment horizontal="center" vertical="center"/>
    </xf>
    <xf numFmtId="49" fontId="15" fillId="0" borderId="0" xfId="1" applyNumberFormat="1" applyFont="1" applyAlignment="1">
      <alignment horizontal="center"/>
    </xf>
    <xf numFmtId="49" fontId="42" fillId="0" borderId="0" xfId="1" applyNumberFormat="1" applyFont="1"/>
    <xf numFmtId="49" fontId="15" fillId="0" borderId="0" xfId="1" applyNumberFormat="1" applyFont="1" applyAlignment="1">
      <alignment wrapText="1"/>
    </xf>
    <xf numFmtId="0" fontId="15" fillId="0" borderId="0" xfId="1" applyFont="1"/>
    <xf numFmtId="49" fontId="42" fillId="0" borderId="0" xfId="1" applyNumberFormat="1" applyFont="1" applyAlignment="1">
      <alignment horizontal="center"/>
    </xf>
    <xf numFmtId="49" fontId="8" fillId="0" borderId="0" xfId="1" applyNumberFormat="1" applyFont="1" applyAlignment="1">
      <alignment horizontal="center" wrapText="1"/>
    </xf>
    <xf numFmtId="49" fontId="31" fillId="0" borderId="0" xfId="1" applyNumberFormat="1" applyFont="1" applyAlignment="1">
      <alignment horizontal="center" wrapText="1"/>
    </xf>
    <xf numFmtId="49" fontId="31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31" fillId="0" borderId="0" xfId="1" applyFont="1" applyAlignment="1">
      <alignment horizontal="center"/>
    </xf>
    <xf numFmtId="0" fontId="31" fillId="0" borderId="0" xfId="1" applyFont="1" applyFill="1" applyAlignment="1">
      <alignment horizontal="center"/>
    </xf>
    <xf numFmtId="49" fontId="31" fillId="0" borderId="1" xfId="1" applyNumberFormat="1" applyFont="1" applyFill="1" applyBorder="1" applyAlignment="1">
      <alignment horizontal="center" wrapText="1"/>
    </xf>
    <xf numFmtId="0" fontId="31" fillId="0" borderId="1" xfId="1" applyFont="1" applyFill="1" applyBorder="1" applyAlignment="1">
      <alignment horizontal="center" wrapText="1"/>
    </xf>
    <xf numFmtId="164" fontId="12" fillId="0" borderId="3" xfId="1" applyNumberFormat="1" applyFont="1" applyFill="1" applyBorder="1" applyAlignment="1">
      <alignment horizontal="center"/>
    </xf>
    <xf numFmtId="49" fontId="9" fillId="3" borderId="3" xfId="1" applyNumberFormat="1" applyFont="1" applyFill="1" applyBorder="1" applyAlignment="1">
      <alignment horizontal="center"/>
    </xf>
    <xf numFmtId="49" fontId="8" fillId="3" borderId="3" xfId="1" applyNumberFormat="1" applyFont="1" applyFill="1" applyBorder="1" applyAlignment="1">
      <alignment horizontal="left" wrapText="1"/>
    </xf>
    <xf numFmtId="49" fontId="8" fillId="3" borderId="3" xfId="1" applyNumberFormat="1" applyFont="1" applyFill="1" applyBorder="1" applyAlignment="1">
      <alignment horizontal="center" wrapText="1"/>
    </xf>
    <xf numFmtId="49" fontId="8" fillId="3" borderId="3" xfId="1" applyNumberFormat="1" applyFont="1" applyFill="1" applyBorder="1" applyAlignment="1">
      <alignment horizontal="center"/>
    </xf>
    <xf numFmtId="0" fontId="29" fillId="0" borderId="0" xfId="0" applyFont="1" applyFill="1"/>
    <xf numFmtId="164" fontId="29" fillId="0" borderId="0" xfId="0" applyNumberFormat="1" applyFont="1" applyFill="1"/>
    <xf numFmtId="0" fontId="14" fillId="0" borderId="3" xfId="0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49" fontId="41" fillId="0" borderId="0" xfId="1" applyNumberFormat="1" applyFont="1" applyBorder="1" applyAlignment="1">
      <alignment horizontal="center" vertical="center" wrapText="1"/>
    </xf>
    <xf numFmtId="0" fontId="15" fillId="0" borderId="0" xfId="1" applyFont="1" applyFill="1"/>
    <xf numFmtId="49" fontId="41" fillId="0" borderId="0" xfId="1" applyNumberFormat="1" applyFont="1" applyBorder="1" applyAlignment="1">
      <alignment horizontal="center" wrapText="1"/>
    </xf>
    <xf numFmtId="49" fontId="9" fillId="0" borderId="1" xfId="1" applyNumberFormat="1" applyFont="1" applyBorder="1" applyAlignment="1">
      <alignment horizontal="center" wrapText="1"/>
    </xf>
    <xf numFmtId="0" fontId="9" fillId="0" borderId="1" xfId="1" applyNumberFormat="1" applyFont="1" applyBorder="1" applyAlignment="1">
      <alignment horizontal="center" wrapText="1"/>
    </xf>
    <xf numFmtId="49" fontId="15" fillId="2" borderId="3" xfId="1" applyNumberFormat="1" applyFont="1" applyFill="1" applyBorder="1"/>
    <xf numFmtId="164" fontId="15" fillId="0" borderId="0" xfId="1" applyNumberFormat="1" applyFont="1"/>
    <xf numFmtId="0" fontId="15" fillId="0" borderId="0" xfId="1" applyNumberFormat="1" applyFont="1" applyAlignment="1">
      <alignment horizontal="center"/>
    </xf>
    <xf numFmtId="49" fontId="15" fillId="0" borderId="0" xfId="1" applyNumberFormat="1" applyFont="1"/>
    <xf numFmtId="164" fontId="8" fillId="0" borderId="0" xfId="1" applyNumberFormat="1" applyFont="1"/>
    <xf numFmtId="164" fontId="45" fillId="2" borderId="0" xfId="1" applyNumberFormat="1" applyFont="1" applyFill="1" applyAlignment="1">
      <alignment horizontal="center"/>
    </xf>
    <xf numFmtId="0" fontId="9" fillId="0" borderId="2" xfId="1" applyFont="1" applyBorder="1" applyAlignment="1">
      <alignment horizontal="center" wrapText="1"/>
    </xf>
    <xf numFmtId="164" fontId="8" fillId="0" borderId="2" xfId="1" applyNumberFormat="1" applyFont="1" applyFill="1" applyBorder="1" applyAlignment="1">
      <alignment horizontal="center" wrapText="1"/>
    </xf>
    <xf numFmtId="164" fontId="12" fillId="0" borderId="4" xfId="1" applyNumberFormat="1" applyFont="1" applyFill="1" applyBorder="1" applyAlignment="1">
      <alignment horizontal="center" wrapText="1"/>
    </xf>
    <xf numFmtId="164" fontId="12" fillId="0" borderId="2" xfId="1" applyNumberFormat="1" applyFont="1" applyFill="1" applyBorder="1" applyAlignment="1">
      <alignment horizontal="center" wrapText="1"/>
    </xf>
    <xf numFmtId="164" fontId="8" fillId="0" borderId="4" xfId="1" applyNumberFormat="1" applyFont="1" applyFill="1" applyBorder="1" applyAlignment="1">
      <alignment horizontal="center" wrapText="1"/>
    </xf>
    <xf numFmtId="164" fontId="22" fillId="4" borderId="4" xfId="1" applyNumberFormat="1" applyFont="1" applyFill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46" fillId="0" borderId="3" xfId="1" applyFont="1" applyBorder="1" applyAlignment="1">
      <alignment horizontal="center"/>
    </xf>
    <xf numFmtId="0" fontId="15" fillId="0" borderId="3" xfId="1" applyFont="1" applyBorder="1"/>
    <xf numFmtId="0" fontId="43" fillId="0" borderId="3" xfId="0" applyFont="1" applyBorder="1" applyAlignment="1">
      <alignment horizontal="center" vertical="center"/>
    </xf>
    <xf numFmtId="164" fontId="33" fillId="0" borderId="3" xfId="0" applyNumberFormat="1" applyFont="1" applyBorder="1"/>
    <xf numFmtId="0" fontId="48" fillId="0" borderId="0" xfId="0" applyFont="1" applyAlignment="1">
      <alignment wrapText="1"/>
    </xf>
    <xf numFmtId="170" fontId="12" fillId="0" borderId="3" xfId="1" applyNumberFormat="1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170" fontId="12" fillId="0" borderId="3" xfId="1" applyNumberFormat="1" applyFont="1" applyFill="1" applyBorder="1" applyAlignment="1">
      <alignment horizontal="center" wrapText="1"/>
    </xf>
    <xf numFmtId="164" fontId="23" fillId="0" borderId="3" xfId="0" applyNumberFormat="1" applyFont="1" applyFill="1" applyBorder="1" applyAlignment="1">
      <alignment horizontal="center"/>
    </xf>
    <xf numFmtId="170" fontId="23" fillId="0" borderId="3" xfId="0" applyNumberFormat="1" applyFont="1" applyFill="1" applyBorder="1" applyAlignment="1">
      <alignment horizontal="center"/>
    </xf>
    <xf numFmtId="49" fontId="21" fillId="0" borderId="1" xfId="1" applyNumberFormat="1" applyFont="1" applyFill="1" applyBorder="1" applyAlignment="1">
      <alignment horizontal="center" wrapText="1"/>
    </xf>
    <xf numFmtId="3" fontId="12" fillId="0" borderId="5" xfId="1" applyNumberFormat="1" applyFont="1" applyFill="1" applyBorder="1" applyAlignment="1">
      <alignment horizontal="center" wrapText="1"/>
    </xf>
    <xf numFmtId="49" fontId="12" fillId="0" borderId="6" xfId="1" applyNumberFormat="1" applyFont="1" applyFill="1" applyBorder="1" applyAlignment="1">
      <alignment wrapText="1"/>
    </xf>
    <xf numFmtId="170" fontId="12" fillId="0" borderId="1" xfId="1" applyNumberFormat="1" applyFont="1" applyFill="1" applyBorder="1" applyAlignment="1">
      <alignment horizontal="center" wrapText="1"/>
    </xf>
    <xf numFmtId="170" fontId="23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4" fontId="7" fillId="0" borderId="0" xfId="1" applyNumberFormat="1"/>
    <xf numFmtId="0" fontId="15" fillId="0" borderId="11" xfId="1" applyFont="1" applyBorder="1"/>
    <xf numFmtId="164" fontId="15" fillId="0" borderId="0" xfId="1" applyNumberFormat="1" applyFont="1" applyBorder="1"/>
    <xf numFmtId="0" fontId="15" fillId="0" borderId="0" xfId="1" applyFont="1" applyBorder="1"/>
    <xf numFmtId="164" fontId="14" fillId="0" borderId="3" xfId="0" applyNumberFormat="1" applyFont="1" applyFill="1" applyBorder="1"/>
    <xf numFmtId="2" fontId="0" fillId="0" borderId="0" xfId="0" applyNumberFormat="1"/>
    <xf numFmtId="0" fontId="23" fillId="0" borderId="3" xfId="3" applyFont="1" applyFill="1" applyBorder="1" applyAlignment="1">
      <alignment wrapText="1"/>
    </xf>
    <xf numFmtId="49" fontId="22" fillId="0" borderId="4" xfId="1" applyNumberFormat="1" applyFont="1" applyFill="1" applyBorder="1" applyAlignment="1">
      <alignment wrapText="1"/>
    </xf>
    <xf numFmtId="0" fontId="33" fillId="0" borderId="0" xfId="0" applyFont="1" applyFill="1"/>
    <xf numFmtId="0" fontId="33" fillId="0" borderId="0" xfId="0" applyFont="1" applyFill="1" applyBorder="1"/>
    <xf numFmtId="49" fontId="41" fillId="0" borderId="0" xfId="1" applyNumberFormat="1" applyFont="1" applyFill="1" applyBorder="1" applyAlignment="1">
      <alignment horizontal="center" vertical="center" wrapText="1"/>
    </xf>
    <xf numFmtId="49" fontId="41" fillId="0" borderId="5" xfId="1" applyNumberFormat="1" applyFont="1" applyFill="1" applyBorder="1" applyAlignment="1">
      <alignment horizontal="center" vertical="center" wrapText="1"/>
    </xf>
    <xf numFmtId="164" fontId="27" fillId="0" borderId="1" xfId="0" applyNumberFormat="1" applyFont="1" applyFill="1" applyBorder="1" applyAlignment="1">
      <alignment horizontal="center"/>
    </xf>
    <xf numFmtId="164" fontId="12" fillId="0" borderId="1" xfId="1" applyNumberFormat="1" applyFont="1" applyFill="1" applyBorder="1" applyAlignment="1">
      <alignment horizontal="center"/>
    </xf>
    <xf numFmtId="164" fontId="23" fillId="0" borderId="1" xfId="0" applyNumberFormat="1" applyFont="1" applyFill="1" applyBorder="1" applyAlignment="1">
      <alignment horizontal="center"/>
    </xf>
    <xf numFmtId="2" fontId="23" fillId="0" borderId="3" xfId="0" applyNumberFormat="1" applyFont="1" applyFill="1" applyBorder="1" applyAlignment="1">
      <alignment horizontal="center"/>
    </xf>
    <xf numFmtId="164" fontId="8" fillId="0" borderId="3" xfId="1" applyNumberFormat="1" applyFont="1" applyFill="1" applyBorder="1" applyAlignment="1">
      <alignment horizontal="center"/>
    </xf>
    <xf numFmtId="164" fontId="33" fillId="0" borderId="0" xfId="0" applyNumberFormat="1" applyFont="1" applyFill="1"/>
    <xf numFmtId="0" fontId="8" fillId="0" borderId="0" xfId="1" applyFont="1" applyAlignment="1">
      <alignment horizontal="right"/>
    </xf>
    <xf numFmtId="2" fontId="8" fillId="0" borderId="13" xfId="1" applyNumberFormat="1" applyFont="1" applyFill="1" applyBorder="1" applyAlignment="1">
      <alignment horizontal="center" vertical="center"/>
    </xf>
    <xf numFmtId="2" fontId="8" fillId="0" borderId="14" xfId="1" applyNumberFormat="1" applyFont="1" applyFill="1" applyBorder="1" applyAlignment="1">
      <alignment horizontal="center" vertical="center"/>
    </xf>
    <xf numFmtId="0" fontId="35" fillId="0" borderId="0" xfId="1" applyFont="1" applyAlignment="1">
      <alignment horizontal="right"/>
    </xf>
    <xf numFmtId="0" fontId="8" fillId="2" borderId="0" xfId="1" applyFont="1" applyFill="1" applyAlignment="1">
      <alignment horizontal="right"/>
    </xf>
    <xf numFmtId="0" fontId="13" fillId="0" borderId="0" xfId="1" applyFont="1" applyAlignment="1">
      <alignment horizontal="center"/>
    </xf>
    <xf numFmtId="0" fontId="8" fillId="0" borderId="1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horizontal="center"/>
    </xf>
    <xf numFmtId="0" fontId="32" fillId="0" borderId="3" xfId="0" applyFont="1" applyFill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 wrapText="1"/>
    </xf>
    <xf numFmtId="49" fontId="41" fillId="0" borderId="0" xfId="1" applyNumberFormat="1" applyFont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9" fontId="9" fillId="0" borderId="11" xfId="1" applyNumberFormat="1" applyFont="1" applyFill="1" applyBorder="1" applyAlignment="1">
      <alignment horizontal="center" vertical="center" wrapText="1"/>
    </xf>
    <xf numFmtId="9" fontId="9" fillId="0" borderId="1" xfId="1" applyNumberFormat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/>
    </xf>
    <xf numFmtId="49" fontId="9" fillId="0" borderId="1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1" xfId="1" applyNumberFormat="1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9" fontId="9" fillId="0" borderId="33" xfId="1" applyNumberFormat="1" applyFont="1" applyBorder="1" applyAlignment="1">
      <alignment horizontal="center" vertical="center" wrapText="1"/>
    </xf>
    <xf numFmtId="9" fontId="9" fillId="0" borderId="2" xfId="1" applyNumberFormat="1" applyFont="1" applyBorder="1" applyAlignment="1">
      <alignment horizontal="center" vertical="center" wrapText="1"/>
    </xf>
    <xf numFmtId="2" fontId="32" fillId="0" borderId="11" xfId="0" applyNumberFormat="1" applyFont="1" applyBorder="1" applyAlignment="1">
      <alignment horizontal="center" vertical="center" wrapText="1"/>
    </xf>
    <xf numFmtId="2" fontId="32" fillId="0" borderId="1" xfId="0" applyNumberFormat="1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/>
    </xf>
    <xf numFmtId="0" fontId="32" fillId="0" borderId="0" xfId="0" applyFont="1" applyAlignment="1">
      <alignment horizontal="center" wrapText="1"/>
    </xf>
    <xf numFmtId="0" fontId="47" fillId="0" borderId="0" xfId="0" applyFont="1" applyAlignment="1">
      <alignment horizontal="center" wrapText="1"/>
    </xf>
    <xf numFmtId="49" fontId="15" fillId="0" borderId="25" xfId="1" applyNumberFormat="1" applyFont="1" applyFill="1" applyBorder="1" applyAlignment="1">
      <alignment horizontal="left" vertical="center" wrapText="1"/>
    </xf>
    <xf numFmtId="49" fontId="15" fillId="0" borderId="26" xfId="1" applyNumberFormat="1" applyFont="1" applyFill="1" applyBorder="1" applyAlignment="1">
      <alignment horizontal="left" vertical="center" wrapText="1"/>
    </xf>
    <xf numFmtId="0" fontId="31" fillId="0" borderId="27" xfId="1" applyFont="1" applyFill="1" applyBorder="1" applyAlignment="1">
      <alignment horizontal="left" vertical="center" wrapText="1"/>
    </xf>
    <xf numFmtId="0" fontId="31" fillId="0" borderId="28" xfId="1" applyFont="1" applyFill="1" applyBorder="1" applyAlignment="1">
      <alignment horizontal="left" vertical="center" wrapText="1"/>
    </xf>
    <xf numFmtId="0" fontId="33" fillId="0" borderId="19" xfId="0" applyFont="1" applyBorder="1" applyAlignment="1">
      <alignment horizontal="left" wrapText="1"/>
    </xf>
    <xf numFmtId="0" fontId="33" fillId="0" borderId="20" xfId="0" applyFont="1" applyBorder="1" applyAlignment="1">
      <alignment horizontal="left" wrapText="1"/>
    </xf>
    <xf numFmtId="0" fontId="32" fillId="0" borderId="17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44" fillId="0" borderId="17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31" fillId="0" borderId="3" xfId="1" applyFont="1" applyFill="1" applyBorder="1" applyAlignment="1">
      <alignment horizontal="left" wrapText="1"/>
    </xf>
    <xf numFmtId="0" fontId="31" fillId="0" borderId="4" xfId="1" applyFont="1" applyFill="1" applyBorder="1" applyAlignment="1">
      <alignment horizontal="left" wrapText="1"/>
    </xf>
    <xf numFmtId="0" fontId="33" fillId="0" borderId="31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33" fillId="0" borderId="26" xfId="0" applyFont="1" applyBorder="1" applyAlignment="1">
      <alignment horizontal="left" wrapText="1"/>
    </xf>
    <xf numFmtId="0" fontId="43" fillId="0" borderId="30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33" fillId="0" borderId="31" xfId="0" applyFont="1" applyBorder="1" applyAlignment="1">
      <alignment horizontal="center"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43" fillId="0" borderId="0" xfId="0" applyFont="1" applyAlignment="1">
      <alignment horizontal="center" wrapText="1"/>
    </xf>
    <xf numFmtId="0" fontId="43" fillId="0" borderId="29" xfId="0" applyFont="1" applyBorder="1" applyAlignment="1">
      <alignment horizontal="center"/>
    </xf>
    <xf numFmtId="0" fontId="43" fillId="0" borderId="32" xfId="0" applyFont="1" applyBorder="1" applyAlignment="1">
      <alignment horizontal="center"/>
    </xf>
    <xf numFmtId="0" fontId="32" fillId="0" borderId="6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3" fontId="15" fillId="2" borderId="17" xfId="1" applyNumberFormat="1" applyFont="1" applyFill="1" applyBorder="1" applyAlignment="1">
      <alignment horizontal="center" vertical="center" wrapText="1"/>
    </xf>
    <xf numFmtId="3" fontId="15" fillId="2" borderId="3" xfId="1" applyNumberFormat="1" applyFont="1" applyFill="1" applyBorder="1" applyAlignment="1">
      <alignment horizontal="center" vertical="center" wrapText="1"/>
    </xf>
    <xf numFmtId="0" fontId="31" fillId="2" borderId="3" xfId="1" applyFont="1" applyFill="1" applyBorder="1" applyAlignment="1">
      <alignment horizontal="left" vertical="center" wrapText="1"/>
    </xf>
    <xf numFmtId="0" fontId="31" fillId="2" borderId="4" xfId="1" applyFont="1" applyFill="1" applyBorder="1" applyAlignment="1">
      <alignment horizontal="left" vertical="center" wrapText="1"/>
    </xf>
  </cellXfs>
  <cellStyles count="50">
    <cellStyle name="Обычный" xfId="0" builtinId="0"/>
    <cellStyle name="Обычный 2" xfId="1"/>
    <cellStyle name="Обычный 2 2" xfId="5"/>
    <cellStyle name="Обычный 2 2 2" xfId="6"/>
    <cellStyle name="Обычный 2 2 3" xfId="7"/>
    <cellStyle name="Обычный 2_№2 Расходы сводная бюджетная роспись 2012г." xfId="8"/>
    <cellStyle name="Обычный 3" xfId="2"/>
    <cellStyle name="Обычный 3 2" xfId="9"/>
    <cellStyle name="Обычный 3 3" xfId="18"/>
    <cellStyle name="Обычный 3 3 2" xfId="30"/>
    <cellStyle name="Обычный 3 4" xfId="19"/>
    <cellStyle name="Обычный 3 4 2" xfId="3"/>
    <cellStyle name="Обычный 3 4 2 2" xfId="17"/>
    <cellStyle name="Обычный 3 4 2 2 2" xfId="28"/>
    <cellStyle name="Обычный 3 4 2 2 2 2" xfId="34"/>
    <cellStyle name="Обычный 3 4 2 2 3" xfId="33"/>
    <cellStyle name="Обычный 3 4 2 3" xfId="24"/>
    <cellStyle name="Обычный 3 4 2 3 2" xfId="35"/>
    <cellStyle name="Обычный 3 4 2 4" xfId="32"/>
    <cellStyle name="Обычный 3 4 3" xfId="31"/>
    <cellStyle name="Обычный 3 5" xfId="20"/>
    <cellStyle name="Обычный 3 5 2" xfId="36"/>
    <cellStyle name="Обычный 3 6" xfId="21"/>
    <cellStyle name="Обычный 3 6 2" xfId="37"/>
    <cellStyle name="Обычный 3 7" xfId="29"/>
    <cellStyle name="Обычный 3 8" xfId="48"/>
    <cellStyle name="Обычный 3_№2 Расходы сводная бюджетная роспись 2012г." xfId="10"/>
    <cellStyle name="Обычный 4" xfId="11"/>
    <cellStyle name="Обычный 4 2" xfId="12"/>
    <cellStyle name="Обычный 4 2 2" xfId="15"/>
    <cellStyle name="Обычный 4 2 2 2" xfId="26"/>
    <cellStyle name="Обычный 4 2 2 2 2" xfId="40"/>
    <cellStyle name="Обычный 4 2 2 3" xfId="39"/>
    <cellStyle name="Обычный 4 2 3" xfId="38"/>
    <cellStyle name="Обычный 5" xfId="13"/>
    <cellStyle name="Обычный 5 2" xfId="41"/>
    <cellStyle name="Обычный 6" xfId="22"/>
    <cellStyle name="Обычный 6 2" xfId="42"/>
    <cellStyle name="Обычный 7" xfId="23"/>
    <cellStyle name="Обычный 7 2" xfId="4"/>
    <cellStyle name="Обычный 7 2 2" xfId="16"/>
    <cellStyle name="Обычный 7 2 2 2" xfId="27"/>
    <cellStyle name="Обычный 7 2 2 2 2" xfId="46"/>
    <cellStyle name="Обычный 7 2 2 3" xfId="45"/>
    <cellStyle name="Обычный 7 2 3" xfId="25"/>
    <cellStyle name="Обычный 7 2 3 2" xfId="47"/>
    <cellStyle name="Обычный 7 2 4" xfId="44"/>
    <cellStyle name="Обычный 7 3" xfId="43"/>
    <cellStyle name="Обычный_Доходы" xfId="49"/>
    <cellStyle name="Процентный 2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1\&#1086;&#1073;&#1097;&#1080;&#1077;%20&#1076;&#1086;&#1082;&#1091;&#1084;&#1077;&#1085;&#1090;&#1099;\&#1052;&#1086;&#1080;%20&#1076;&#1086;&#1082;&#1091;&#1084;&#1077;&#1085;&#1090;&#1099;\&#1060;&#1086;&#1088;&#1084;&#1099;\&#1054;&#1090;&#1095;&#1077;&#1090;_&#1087;&#1086;_&#1092;&#1086;&#1088;&#1084;&#1077;_&#1073;&#1102;&#1076;&#1078;&#1077;&#1090;&#1072;_&#1052;&#1054;_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4;&#1072;&#1088;&#1075;&#1086;&#1096;&#1072;\2016%20&#1041;&#1070;&#1044;&#1046;&#1045;&#1058;%20&#1089;%20&#1087;&#1086;&#1087;&#1088;&#1072;&#1074;&#1082;&#1072;&#1084;&#1080;%20&#1050;&#1057;&#1055;\&#1042;&#1052;&#1054;%20&#1040;&#1076;&#1084;&#1080;&#1088;&#1072;&#1083;&#1090;&#1077;&#1081;&#1089;&#1082;&#1080;&#1081;%20&#1086;&#1082;&#1088;&#1091;&#1075;-&#1087;&#1088;&#1086;&#1077;&#1082;&#1090;-2016\&#1055;&#1088;&#1080;&#1083;&#1086;&#1078;&#1077;&#1085;&#1080;&#1103;%20&#8470;1-2%201%20&#1095;&#1090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Отчет"/>
      <sheetName val="Форма 2005 (5)"/>
      <sheetName val="Форма 2005 (4)"/>
      <sheetName val="Форма 2005 (3)"/>
      <sheetName val="Форма 2005 (2)"/>
      <sheetName val="Форма 2005"/>
    </sheetNames>
    <sheetDataSet>
      <sheetData sheetId="0">
        <row r="1">
          <cell r="B1" t="str">
            <v>об исполнении местного бюджета муниципального образования КОЛОМНА</v>
          </cell>
          <cell r="C1" t="str">
            <v>Адмиралтейского административного района Санкт-Петербурга</v>
          </cell>
          <cell r="D1" t="str">
            <v>на 01 апреля  2004 года</v>
          </cell>
        </row>
        <row r="2">
          <cell r="B2" t="str">
            <v>об исполнении местного бюджета муниципального образования СЕННОЙ ОКРУГ</v>
          </cell>
          <cell r="C2" t="str">
            <v>Василеостровского административного района Санкт-Петербурга</v>
          </cell>
          <cell r="D2" t="str">
            <v>на 01 ______________ 200 __г.</v>
          </cell>
        </row>
        <row r="3">
          <cell r="B3" t="str">
            <v>об исполнении местного бюджета муниципального образования АДМИРАЛТЕЙСКИЙ ОКРУГ</v>
          </cell>
          <cell r="C3" t="str">
            <v>Выборгского административного района Санкт-Петербурга</v>
          </cell>
          <cell r="D3" t="str">
            <v>на 01 июля  2004 года</v>
          </cell>
        </row>
        <row r="4">
          <cell r="B4" t="str">
            <v>об исполнении местного бюджета муниципального образования МО № 4</v>
          </cell>
          <cell r="C4" t="str">
            <v>Калининского административного района Санкт-Петербурга</v>
          </cell>
          <cell r="D4" t="str">
            <v>на 01 октября 2004 года</v>
          </cell>
        </row>
        <row r="5">
          <cell r="B5" t="str">
            <v>об исполнении местного бюджета муниципального образования ИЗМАЙЛОВСКОЕ</v>
          </cell>
          <cell r="C5" t="str">
            <v>Кировского административного района Санкт-Петербурга</v>
          </cell>
          <cell r="D5" t="str">
            <v>на 01 января  2005 года</v>
          </cell>
        </row>
        <row r="6">
          <cell r="B6" t="str">
            <v>об исполнении местного бюджета муниципального образования МО № 6</v>
          </cell>
          <cell r="C6" t="str">
            <v>Красногвардейского административного района Санкт-Петербурга</v>
          </cell>
        </row>
        <row r="7">
          <cell r="B7" t="str">
            <v>об исполнении местного бюджета муниципального образования МО № 7</v>
          </cell>
          <cell r="C7" t="str">
            <v>Красносельского административного района Санкт-Петербурга</v>
          </cell>
        </row>
        <row r="8">
          <cell r="B8" t="str">
            <v>об исполнении местного бюджета муниципального образования МО № 8</v>
          </cell>
          <cell r="C8" t="str">
            <v>Московского административного района Санкт-Петербурга</v>
          </cell>
        </row>
        <row r="9">
          <cell r="B9" t="str">
            <v>об исполнении местного бюджета муниципального образования МО № 9</v>
          </cell>
          <cell r="C9" t="str">
            <v>Невского административного района Санкт-Петербурга</v>
          </cell>
        </row>
        <row r="10">
          <cell r="B10" t="str">
            <v>об исполнении местного бюджета муниципального образования ОКРУГ МОРСКОЙ</v>
          </cell>
          <cell r="C10" t="str">
            <v>Петроградского административного района Санкт-Петербурга</v>
          </cell>
        </row>
        <row r="11">
          <cell r="B11" t="str">
            <v>об исполнении местного бюджета муниципального образования МО № 11</v>
          </cell>
          <cell r="C11" t="str">
            <v>Приморского административного района Санкт-Петербурга</v>
          </cell>
        </row>
        <row r="12">
          <cell r="B12" t="str">
            <v>об исполнении местного бюджета муниципального образования САМПСОНИЕВСКОЕ</v>
          </cell>
          <cell r="C12" t="str">
            <v>Фрунзенского административного района Санкт-Петербурга</v>
          </cell>
        </row>
        <row r="13">
          <cell r="B13" t="str">
            <v>об исполнении местного бюджета муниципального образования СВЕТЛАНОВСКОЕ</v>
          </cell>
          <cell r="C13" t="str">
            <v>Центрального административного района Санкт-Петербурга</v>
          </cell>
        </row>
        <row r="14">
          <cell r="B14" t="str">
            <v>об исполнении местного бюджета муниципального образования СОСНОВСКОЕ</v>
          </cell>
          <cell r="C14" t="str">
            <v>Пушкинского и Павловского административного района Санкт-Петербурга</v>
          </cell>
        </row>
        <row r="15">
          <cell r="B15" t="str">
            <v>об исполнении местного бюджета муниципального образования МО № 15</v>
          </cell>
          <cell r="C15" t="str">
            <v>Кронштадтского административного района Санкт-Петербурга</v>
          </cell>
        </row>
        <row r="16">
          <cell r="B16" t="str">
            <v>об исполнении местного бюджета муниципального образования ПАРНАС</v>
          </cell>
          <cell r="C16" t="str">
            <v>Ломоносов административного района Санкт-Петербурга</v>
          </cell>
        </row>
        <row r="17">
          <cell r="B17" t="str">
            <v>об исполнении местного бюджета муниципального образования ШУВАЛОВО-ОЗЕРКИ</v>
          </cell>
          <cell r="C17" t="str">
            <v>Петродворцового административного района Санкт-Петербурга</v>
          </cell>
        </row>
        <row r="18">
          <cell r="B18" t="str">
            <v>об исполнении местного бюджета муниципального образования ПОСЕЛОК ЛЕВАШОВО</v>
          </cell>
          <cell r="C18" t="str">
            <v>Колпинского административного района Санкт-Петербурга</v>
          </cell>
        </row>
        <row r="19">
          <cell r="B19" t="str">
            <v>об исполнении местного бюджета муниципального образования ПОСЕЛОК ПАРГОЛОВО</v>
          </cell>
          <cell r="C19" t="str">
            <v>Курортного административного района Санкт-Петербурга</v>
          </cell>
        </row>
        <row r="20">
          <cell r="B20" t="str">
            <v>об исполнении местного бюджета муниципального образования ГРАЖДАНКА</v>
          </cell>
        </row>
        <row r="21">
          <cell r="B21" t="str">
            <v>об исполнении местного бюджета муниципального образования АКАДЕМИЧЕСКОЕ</v>
          </cell>
        </row>
        <row r="22">
          <cell r="B22" t="str">
            <v>об исполнении местного бюджета муниципального образования ФИНЛЯНДСКИЙ ОКРУГ</v>
          </cell>
        </row>
        <row r="23">
          <cell r="B23" t="str">
            <v>об исполнении местного бюджета муниципального образования МО № 21</v>
          </cell>
        </row>
        <row r="24">
          <cell r="B24" t="str">
            <v>об исполнении местного бюджета муниципального образования ПИСКАРЕВКА</v>
          </cell>
        </row>
        <row r="25">
          <cell r="B25" t="str">
            <v>об исполнении местного бюджета муниципального образования СЕВЕРНЫЙ</v>
          </cell>
        </row>
        <row r="26">
          <cell r="B26" t="str">
            <v>об исполнении местного бюджета муниципального образования ПРОМЕТЕЙ</v>
          </cell>
        </row>
        <row r="27">
          <cell r="B27" t="str">
            <v>об исполнении местного бюджета муниципального образования МО № 25</v>
          </cell>
        </row>
        <row r="28">
          <cell r="B28" t="str">
            <v>об исполнении местного бюджета муниципального образования УЛЬЯНКА</v>
          </cell>
        </row>
        <row r="29">
          <cell r="B29" t="str">
            <v>об исполнении местного бюджета муниципального образования ДАЧНОЕ</v>
          </cell>
        </row>
        <row r="30">
          <cell r="B30" t="str">
            <v>об исполнении местного бюджета муниципального образования АВТОВО</v>
          </cell>
        </row>
        <row r="31">
          <cell r="B31" t="str">
            <v>об исполнении местного бюджета муниципального образования НАРВСКИЙ ОКРУГ</v>
          </cell>
        </row>
        <row r="32">
          <cell r="B32" t="str">
            <v>об исполнении местного бюджета муниципального образования КРАСНЕНЬКАЯ РЕЧКА</v>
          </cell>
        </row>
        <row r="33">
          <cell r="B33" t="str">
            <v>об исполнении местного бюджета муниципального образования МОРСКИЕ ВОРОТА</v>
          </cell>
        </row>
        <row r="34">
          <cell r="B34" t="str">
            <v>об исполнении местного бюджета муниципального образования ПОЛЮСТРОВО</v>
          </cell>
        </row>
        <row r="35">
          <cell r="B35" t="str">
            <v>об исполнении местного бюджета муниципального образования МО № 33</v>
          </cell>
        </row>
        <row r="36">
          <cell r="B36" t="str">
            <v>об исполнении местного бюджета муниципального образования МО № 34</v>
          </cell>
        </row>
        <row r="37">
          <cell r="B37" t="str">
            <v>об исполнении местного бюджета муниципального образования МО № 35</v>
          </cell>
        </row>
        <row r="38">
          <cell r="B38" t="str">
            <v>об исполнении местного бюджета муниципального образования РЖЕВКА</v>
          </cell>
        </row>
        <row r="39">
          <cell r="B39" t="str">
            <v>об исполнении местного бюджета муниципального образования МО № 37</v>
          </cell>
        </row>
        <row r="40">
          <cell r="B40" t="str">
            <v>об исполнении местного бюджета муниципального образования МО № 38</v>
          </cell>
        </row>
        <row r="41">
          <cell r="B41" t="str">
            <v>об исполнении местного бюджета муниципального образования СОСНОВАЯ ПОЛЯНА</v>
          </cell>
        </row>
        <row r="42">
          <cell r="B42" t="str">
            <v>об исполнении местного бюджета муниципального образования УРИЦК</v>
          </cell>
        </row>
        <row r="43">
          <cell r="B43" t="str">
            <v>об исполнении местного бюджета муниципального образования МО № 41</v>
          </cell>
        </row>
        <row r="44">
          <cell r="B44" t="str">
            <v>об исполнении местного бюджета муниципального образования МО № 42</v>
          </cell>
        </row>
        <row r="45">
          <cell r="B45" t="str">
            <v>об исполнении местного бюджета муниципального образования ГОРОД КРАСНОЕ СЕЛО</v>
          </cell>
        </row>
        <row r="46">
          <cell r="B46" t="str">
            <v>об исполнении местного бюджета муниципального образования МОСКОВСКАЯ ЗАСТАВА</v>
          </cell>
        </row>
        <row r="47">
          <cell r="B47" t="str">
            <v>об исполнении местного бюджета муниципального образования ГАГАРИНСКОЕ</v>
          </cell>
        </row>
        <row r="48">
          <cell r="B48" t="str">
            <v>об исполнении местного бюджета муниципального образования НОВОИЗМАЙЛОВСКОЕ</v>
          </cell>
        </row>
        <row r="49">
          <cell r="B49" t="str">
            <v>об исполнении местного бюджета муниципального образования МО № 47</v>
          </cell>
        </row>
        <row r="50">
          <cell r="B50" t="str">
            <v>об исполнении местного бюджета муниципального образования ЗВЕЗДНОЕ</v>
          </cell>
        </row>
        <row r="51">
          <cell r="B51" t="str">
            <v>об исполнении местного бюджета муниципального образования НЕВСКАЯ ЗАСТАВА</v>
          </cell>
        </row>
        <row r="52">
          <cell r="B52" t="str">
            <v>об исполнении местного бюджета муниципального образования МО № 50</v>
          </cell>
        </row>
        <row r="53">
          <cell r="B53" t="str">
            <v>об исполнении местного бюджета муниципального образования ОБУХОВСКИЙ</v>
          </cell>
        </row>
        <row r="54">
          <cell r="B54" t="str">
            <v>об исполнении местного бюджета муниципального образования РЫБАЦКОЕ</v>
          </cell>
        </row>
        <row r="55">
          <cell r="B55" t="str">
            <v>об исполнении местного бюджета муниципального образования МО № 53</v>
          </cell>
        </row>
        <row r="56">
          <cell r="B56" t="str">
            <v>об исполнении местного бюджета муниципального образования МО № 54</v>
          </cell>
        </row>
        <row r="57">
          <cell r="B57" t="str">
            <v>об исполнении местного бюджета муниципального образования НЕВСКИЙ ОКРУГ</v>
          </cell>
        </row>
        <row r="58">
          <cell r="B58" t="str">
            <v>об исполнении местного бюджета муниципального образования ОККЕРВИЛЬ</v>
          </cell>
        </row>
        <row r="59">
          <cell r="B59" t="str">
            <v>об исполнении местного бюджета муниципального образования МО № 57</v>
          </cell>
        </row>
        <row r="60">
          <cell r="B60" t="str">
            <v>об исполнении местного бюджета муниципального образования МО № 58</v>
          </cell>
        </row>
        <row r="61">
          <cell r="B61" t="str">
            <v>об исполнении местного бюджета муниципального образования КРОНВЕРКСКОЕ</v>
          </cell>
        </row>
        <row r="62">
          <cell r="B62" t="str">
            <v>об исполнении местного бюджета муниципального образования МО № 60</v>
          </cell>
        </row>
        <row r="63">
          <cell r="B63" t="str">
            <v>об исполнении местного бюджета муниципального образования АПТЕКАРСКИЙ ОСТРОВ</v>
          </cell>
        </row>
        <row r="64">
          <cell r="B64" t="str">
            <v>об исполнении местного бюджета муниципального образования ОКРУГ ПЕТРОВСКИЙ</v>
          </cell>
        </row>
        <row r="65">
          <cell r="B65" t="str">
            <v>об исполнении местного бюджета муниципального образования ЧКАЛОВСКОЕ</v>
          </cell>
        </row>
        <row r="66">
          <cell r="B66" t="str">
            <v>об исполнении местного бюджета муниципального образования ЛАХТА-ОЛЬГИНО</v>
          </cell>
        </row>
        <row r="67">
          <cell r="B67" t="str">
            <v>об исполнении местного бюджета муниципального образования МО № 65</v>
          </cell>
        </row>
        <row r="68">
          <cell r="B68" t="str">
            <v>об исполнении местного бюджета муниципального образования МО № 66</v>
          </cell>
        </row>
        <row r="69">
          <cell r="B69" t="str">
            <v>об исполнении местного бюджета муниципального образования КОМЕНДАНТСКИЙ АЭРОДРОМ</v>
          </cell>
        </row>
        <row r="70">
          <cell r="B70" t="str">
            <v>об исполнении местного бюджета муниципального образования МО № 68</v>
          </cell>
        </row>
        <row r="71">
          <cell r="B71" t="str">
            <v>об исполнении местного бюджета муниципального образования ЮНТОЛОВО</v>
          </cell>
        </row>
        <row r="72">
          <cell r="B72" t="str">
            <v>об исполнении местного бюджета муниципального образования МО № 70</v>
          </cell>
        </row>
        <row r="73">
          <cell r="B73" t="str">
            <v>об исполнении местного бюджета муниципального образования ПОСЕЛОК ЛИСИЙ НОС</v>
          </cell>
        </row>
        <row r="74">
          <cell r="B74" t="str">
            <v>об исполнении местного бюджета муниципального образования МО № 71</v>
          </cell>
        </row>
        <row r="75">
          <cell r="B75" t="str">
            <v>об исполнении местного бюджета муниципального образования МО № 72</v>
          </cell>
        </row>
        <row r="76">
          <cell r="B76" t="str">
            <v>об исполнении местного бюджета муниципального образования КУПЧИНО</v>
          </cell>
        </row>
        <row r="77">
          <cell r="B77" t="str">
            <v>об исполнении местного бюджета муниципального образования МО № 74</v>
          </cell>
        </row>
        <row r="78">
          <cell r="B78" t="str">
            <v>об исполнении местного бюджета муниципального образования МО № 75</v>
          </cell>
        </row>
        <row r="79">
          <cell r="B79" t="str">
            <v>об исполнении местного бюджета муниципального образования МО № 76</v>
          </cell>
        </row>
        <row r="80">
          <cell r="B80" t="str">
            <v>об исполнении местного бюджета муниципального образования ДВОРЦОВЫЙ ОКРУГ</v>
          </cell>
        </row>
        <row r="81">
          <cell r="B81" t="str">
            <v>об исполнении местного бюджета муниципального образования МО № 78</v>
          </cell>
        </row>
        <row r="82">
          <cell r="B82" t="str">
            <v>об исполнении местного бюджета муниципального образования ЛИТЕЙНЫЙ ОКРУГ</v>
          </cell>
        </row>
        <row r="83">
          <cell r="B83" t="str">
            <v>об исполнении местного бюджета муниципального образования СМОЛЬНИНСКОЕ</v>
          </cell>
        </row>
        <row r="84">
          <cell r="B84" t="str">
            <v>об исполнении местного бюджета муниципального образования ЛИГОВКА-ЯМСКАЯ</v>
          </cell>
        </row>
        <row r="85">
          <cell r="B85" t="str">
            <v>об исполнении местного бюджета муниципального образования ВЛАДИМИРСКИЙ ОКРУГ</v>
          </cell>
        </row>
        <row r="86">
          <cell r="B86" t="str">
            <v>об исполнении местного бюджета муниципального образования ГОРОД СЕСТРОРЕЦК</v>
          </cell>
        </row>
        <row r="87">
          <cell r="B87" t="str">
            <v>об исполнении местного бюджета муниципального образования ГОРОД ЗЕЛЕНОГОРСК</v>
          </cell>
        </row>
        <row r="88">
          <cell r="B88" t="str">
            <v>об исполнении местного бюджета муниципального образования ПОСЕЛОК ПЕСОЧНЫЙ</v>
          </cell>
        </row>
        <row r="89">
          <cell r="B89" t="str">
            <v>об исполнении местного бюджета муниципального образования ПОСЕЛОК БЕЛООСТРОВ</v>
          </cell>
        </row>
        <row r="90">
          <cell r="B90" t="str">
            <v>об исполнении местного бюджета муниципального образования ПОСЕЛОККОМАРОВО</v>
          </cell>
        </row>
        <row r="91">
          <cell r="B91" t="str">
            <v>об исполнении местного бюджета муниципального образования ПОСЕЛОК МОЛОДЕЖНОЕ</v>
          </cell>
        </row>
        <row r="92">
          <cell r="B92" t="str">
            <v>об исполнении местного бюджета муниципального образования ПОСЕЛОК РЕПИНО</v>
          </cell>
        </row>
        <row r="93">
          <cell r="B93" t="str">
            <v>об исполнении местного бюджета муниципального образования ПОСЕЛОК СЕРОВО</v>
          </cell>
        </row>
        <row r="94">
          <cell r="B94" t="str">
            <v>об исполнении местного бюджета муниципального образования ПОСЕЛОК СМОЛЯЧКОВО</v>
          </cell>
        </row>
        <row r="95">
          <cell r="B95" t="str">
            <v>об исполнении местного бюджета муниципального образования ПОСЕЛОК СОЛНЕЧНОЕ</v>
          </cell>
        </row>
        <row r="96">
          <cell r="B96" t="str">
            <v>об исполнении местного бюджета муниципального образования ПОСЕЛОК УШКОВО</v>
          </cell>
        </row>
        <row r="97">
          <cell r="B97" t="str">
            <v>об исполнении местного бюджета муниципального образования ГОРОД КОЛПИНО</v>
          </cell>
        </row>
        <row r="98">
          <cell r="B98" t="str">
            <v>об исполнении местного бюджета муниципального образования ПОСЕЛОК МЕТАЛЛОСТРОЙ</v>
          </cell>
        </row>
        <row r="99">
          <cell r="B99" t="str">
            <v>об исполнении местного бюджета муниципального образования ПОСЕЛОК ПЕТРО-СЛАВЯНКА</v>
          </cell>
        </row>
        <row r="100">
          <cell r="B100" t="str">
            <v>об исполнении местного бюджета муниципального образования ПОСЕЛОК ПОНТОННЫЙ</v>
          </cell>
        </row>
        <row r="101">
          <cell r="B101" t="str">
            <v>об исполнении местного бюджета муниципального образования ПОСЕЛОК УСТЬ-ИЖОРА</v>
          </cell>
        </row>
        <row r="102">
          <cell r="B102" t="str">
            <v>об исполнении местного бюджета муниципального образования ПОСЕЛОК САПЕРНЫЙ</v>
          </cell>
        </row>
        <row r="103">
          <cell r="B103" t="str">
            <v>об исполнении местного бюджета муниципального образования ГОРОД КРОНШТАДТ</v>
          </cell>
        </row>
        <row r="104">
          <cell r="B104" t="str">
            <v>об исполнении местного бюджета муниципального образования ГОРОД ЛОМОНОСОВ</v>
          </cell>
        </row>
        <row r="105">
          <cell r="B105" t="str">
            <v>об исполнении местного бюджета муниципального образования ГОРОД ПЕТЕРГОФ</v>
          </cell>
        </row>
        <row r="106">
          <cell r="B106" t="str">
            <v>об исполнении местного бюджета муниципального образования ПОСЕЛОК СТРЕЛЬНА</v>
          </cell>
        </row>
        <row r="107">
          <cell r="B107" t="str">
            <v>об исполнении местного бюджета муниципального образования ГОРОД ПУШКИН</v>
          </cell>
        </row>
        <row r="108">
          <cell r="B108" t="str">
            <v>об исполнении местного бюджета муниципального образования ГОРОД ПАВЛОВСК</v>
          </cell>
        </row>
        <row r="109">
          <cell r="B109" t="str">
            <v>об исполнении местного бюджета муниципального образования ПОСЕЛОК ШУШАРЫ</v>
          </cell>
        </row>
        <row r="110">
          <cell r="B110" t="str">
            <v>об исполнении местного бюджета муниципального образования ПОСЕЛОК АЛЕКСАНДРОВСКАЯ</v>
          </cell>
        </row>
        <row r="111">
          <cell r="B111" t="str">
            <v>об исполнении местного бюджета муниципального образования ПОСЕЛОК ТЯРЛЕВО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ВСР"/>
      <sheetName val="Прилож.3 Распр.по ассигн."/>
    </sheetNames>
    <sheetDataSet>
      <sheetData sheetId="0"/>
      <sheetData sheetId="1">
        <row r="15">
          <cell r="E15" t="str">
            <v>00205 00030</v>
          </cell>
        </row>
        <row r="17">
          <cell r="E17" t="str">
            <v>00206 00030</v>
          </cell>
        </row>
        <row r="20">
          <cell r="E20" t="str">
            <v>09200 G0100</v>
          </cell>
        </row>
        <row r="22">
          <cell r="E22" t="str">
            <v>00200 G0850</v>
          </cell>
        </row>
        <row r="26">
          <cell r="E26" t="str">
            <v>07001 00060</v>
          </cell>
        </row>
        <row r="29">
          <cell r="E29" t="str">
            <v>09201 00070</v>
          </cell>
        </row>
        <row r="32">
          <cell r="E32" t="str">
            <v>09201 00460</v>
          </cell>
        </row>
        <row r="38">
          <cell r="E38" t="str">
            <v>79508 00520</v>
          </cell>
        </row>
        <row r="43">
          <cell r="E43" t="str">
            <v>21900 00090</v>
          </cell>
        </row>
        <row r="51">
          <cell r="E51" t="str">
            <v>34500 00100</v>
          </cell>
        </row>
        <row r="56">
          <cell r="E56" t="str">
            <v>60001 00132</v>
          </cell>
        </row>
        <row r="57">
          <cell r="E57" t="str">
            <v>60001 00132</v>
          </cell>
        </row>
        <row r="63">
          <cell r="E63" t="str">
            <v>60003 00151</v>
          </cell>
        </row>
        <row r="79">
          <cell r="E79" t="str">
            <v>41000 00170</v>
          </cell>
        </row>
        <row r="87">
          <cell r="E87" t="str">
            <v>79505 00190</v>
          </cell>
        </row>
        <row r="90">
          <cell r="E90" t="str">
            <v>79506 00510</v>
          </cell>
        </row>
        <row r="91">
          <cell r="E91" t="str">
            <v>79506 00510</v>
          </cell>
        </row>
        <row r="92">
          <cell r="E92" t="str">
            <v>79512 00490</v>
          </cell>
        </row>
        <row r="94">
          <cell r="E94" t="str">
            <v>79514 00530</v>
          </cell>
        </row>
        <row r="98">
          <cell r="E98" t="str">
            <v>45011 00200</v>
          </cell>
        </row>
        <row r="101">
          <cell r="E101" t="str">
            <v>45009 00560</v>
          </cell>
        </row>
        <row r="105">
          <cell r="E105" t="str">
            <v>50581 00230</v>
          </cell>
        </row>
        <row r="108">
          <cell r="E108" t="str">
            <v>51100 G0860</v>
          </cell>
        </row>
        <row r="110">
          <cell r="E110" t="str">
            <v>51100 G0870</v>
          </cell>
        </row>
        <row r="115">
          <cell r="E115" t="str">
            <v>00201 00010</v>
          </cell>
        </row>
        <row r="116">
          <cell r="E116" t="str">
            <v>00201 00010</v>
          </cell>
        </row>
        <row r="118">
          <cell r="E118" t="str">
            <v>00203 00021</v>
          </cell>
        </row>
        <row r="120">
          <cell r="E120" t="str">
            <v>00203 00022</v>
          </cell>
        </row>
        <row r="123">
          <cell r="E123" t="str">
            <v>00204 00020</v>
          </cell>
        </row>
        <row r="127">
          <cell r="E127" t="str">
            <v>09205 00440</v>
          </cell>
        </row>
        <row r="131">
          <cell r="E131" t="str">
            <v>45701 00250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view="pageBreakPreview" topLeftCell="A56" zoomScale="90" zoomScaleNormal="70" zoomScaleSheetLayoutView="90" workbookViewId="0">
      <selection activeCell="A7" sqref="A7"/>
    </sheetView>
  </sheetViews>
  <sheetFormatPr defaultRowHeight="15" x14ac:dyDescent="0.25"/>
  <cols>
    <col min="1" max="1" width="14.140625" customWidth="1"/>
    <col min="2" max="2" width="22.85546875" customWidth="1"/>
    <col min="3" max="3" width="30.140625" customWidth="1"/>
    <col min="4" max="4" width="65.85546875" customWidth="1"/>
    <col min="5" max="5" width="15.85546875" style="124" customWidth="1"/>
    <col min="6" max="6" width="15.7109375" style="14" customWidth="1"/>
    <col min="7" max="7" width="14.5703125" style="14" customWidth="1"/>
    <col min="8" max="8" width="15.85546875" customWidth="1"/>
    <col min="9" max="9" width="16.85546875" customWidth="1"/>
    <col min="10" max="11" width="9.140625" customWidth="1"/>
    <col min="12" max="12" width="16.28515625" customWidth="1"/>
  </cols>
  <sheetData>
    <row r="1" spans="1:13" ht="19.5" x14ac:dyDescent="0.35">
      <c r="A1" s="121"/>
      <c r="B1" s="142"/>
      <c r="C1" s="1"/>
      <c r="F1" s="304" t="s">
        <v>532</v>
      </c>
      <c r="G1" s="304"/>
    </row>
    <row r="2" spans="1:13" ht="18.75" x14ac:dyDescent="0.3">
      <c r="A2" s="1"/>
      <c r="B2" s="1"/>
      <c r="C2" s="1"/>
      <c r="E2" s="304" t="s">
        <v>17</v>
      </c>
      <c r="F2" s="304"/>
      <c r="G2" s="304"/>
    </row>
    <row r="3" spans="1:13" ht="19.5" x14ac:dyDescent="0.3">
      <c r="A3" s="185"/>
      <c r="B3" s="1"/>
      <c r="C3" s="1"/>
      <c r="E3" s="307" t="s">
        <v>16</v>
      </c>
      <c r="F3" s="307"/>
      <c r="G3" s="307"/>
    </row>
    <row r="4" spans="1:13" ht="18.75" x14ac:dyDescent="0.3">
      <c r="A4" s="1"/>
      <c r="B4" s="1"/>
      <c r="C4" s="1"/>
      <c r="E4" s="308" t="s">
        <v>533</v>
      </c>
      <c r="F4" s="308"/>
      <c r="G4" s="308"/>
    </row>
    <row r="5" spans="1:13" ht="15.75" x14ac:dyDescent="0.25">
      <c r="A5" s="1"/>
      <c r="B5" s="1"/>
      <c r="C5" s="1"/>
      <c r="D5" s="1"/>
      <c r="E5" s="143"/>
      <c r="F5" s="189"/>
    </row>
    <row r="6" spans="1:13" ht="15.75" x14ac:dyDescent="0.25">
      <c r="A6" s="309" t="s">
        <v>534</v>
      </c>
      <c r="B6" s="309"/>
      <c r="C6" s="309"/>
      <c r="D6" s="309"/>
      <c r="E6" s="309"/>
      <c r="F6" s="309"/>
      <c r="G6" s="309"/>
    </row>
    <row r="7" spans="1:13" ht="16.5" thickBot="1" x14ac:dyDescent="0.3">
      <c r="A7" s="1"/>
      <c r="B7" s="1"/>
      <c r="C7" s="316"/>
      <c r="D7" s="316"/>
      <c r="E7" s="144"/>
      <c r="F7" s="73"/>
      <c r="G7" s="192" t="s">
        <v>447</v>
      </c>
    </row>
    <row r="8" spans="1:13" ht="22.5" customHeight="1" x14ac:dyDescent="0.25">
      <c r="A8" s="310" t="s">
        <v>328</v>
      </c>
      <c r="B8" s="312" t="s">
        <v>442</v>
      </c>
      <c r="C8" s="312" t="s">
        <v>441</v>
      </c>
      <c r="D8" s="312" t="s">
        <v>329</v>
      </c>
      <c r="E8" s="314" t="s">
        <v>443</v>
      </c>
      <c r="F8" s="305" t="s">
        <v>444</v>
      </c>
      <c r="G8" s="306"/>
      <c r="H8" s="4"/>
      <c r="I8" s="4"/>
      <c r="J8" s="4"/>
      <c r="K8" s="4"/>
      <c r="L8" s="4"/>
      <c r="M8" s="4"/>
    </row>
    <row r="9" spans="1:13" ht="18.75" customHeight="1" x14ac:dyDescent="0.3">
      <c r="A9" s="311"/>
      <c r="B9" s="313"/>
      <c r="C9" s="313"/>
      <c r="D9" s="313"/>
      <c r="E9" s="315"/>
      <c r="F9" s="193" t="s">
        <v>445</v>
      </c>
      <c r="G9" s="199" t="s">
        <v>446</v>
      </c>
      <c r="H9" s="4"/>
      <c r="I9" s="4"/>
      <c r="J9" s="4"/>
      <c r="K9" s="4"/>
      <c r="L9" s="4"/>
      <c r="M9" s="4"/>
    </row>
    <row r="10" spans="1:13" ht="18.75" x14ac:dyDescent="0.3">
      <c r="A10" s="200">
        <v>1</v>
      </c>
      <c r="B10" s="194">
        <v>2</v>
      </c>
      <c r="C10" s="194">
        <v>3</v>
      </c>
      <c r="D10" s="195">
        <v>4</v>
      </c>
      <c r="E10" s="196">
        <v>5</v>
      </c>
      <c r="F10" s="198">
        <v>6</v>
      </c>
      <c r="G10" s="201">
        <v>7</v>
      </c>
      <c r="H10" s="4"/>
      <c r="I10" s="4"/>
      <c r="J10" s="4"/>
      <c r="K10" s="4"/>
      <c r="L10" s="4"/>
      <c r="M10" s="4"/>
    </row>
    <row r="11" spans="1:13" ht="22.5" customHeight="1" x14ac:dyDescent="0.25">
      <c r="A11" s="202" t="s">
        <v>330</v>
      </c>
      <c r="B11" s="145" t="s">
        <v>331</v>
      </c>
      <c r="C11" s="146" t="s">
        <v>332</v>
      </c>
      <c r="D11" s="147" t="s">
        <v>333</v>
      </c>
      <c r="E11" s="148">
        <f>E12+E26+E29+E37</f>
        <v>60628.9</v>
      </c>
      <c r="F11" s="148">
        <f t="shared" ref="F11:G11" si="0">F12+F26+F29+F37</f>
        <v>64901.700000000004</v>
      </c>
      <c r="G11" s="148">
        <f t="shared" si="0"/>
        <v>70288.2</v>
      </c>
      <c r="H11" s="149"/>
      <c r="I11" s="149"/>
      <c r="J11" s="4"/>
      <c r="K11" s="4"/>
      <c r="L11" s="4"/>
      <c r="M11" s="4"/>
    </row>
    <row r="12" spans="1:13" ht="23.25" customHeight="1" x14ac:dyDescent="0.25">
      <c r="A12" s="204" t="s">
        <v>0</v>
      </c>
      <c r="B12" s="150" t="s">
        <v>331</v>
      </c>
      <c r="C12" s="146" t="s">
        <v>334</v>
      </c>
      <c r="D12" s="147" t="s">
        <v>335</v>
      </c>
      <c r="E12" s="151">
        <f>E13+E21+E24</f>
        <v>57272.800000000003</v>
      </c>
      <c r="F12" s="151">
        <f t="shared" ref="F12:G12" si="1">F13+F21+F24</f>
        <v>61391.700000000004</v>
      </c>
      <c r="G12" s="151">
        <f t="shared" si="1"/>
        <v>66618.899999999994</v>
      </c>
      <c r="H12" s="4"/>
      <c r="I12" s="4"/>
      <c r="J12" s="4"/>
      <c r="K12" s="4"/>
      <c r="L12" s="4"/>
      <c r="M12" s="4"/>
    </row>
    <row r="13" spans="1:13" ht="37.5" x14ac:dyDescent="0.25">
      <c r="A13" s="204" t="s">
        <v>1</v>
      </c>
      <c r="B13" s="150" t="s">
        <v>336</v>
      </c>
      <c r="C13" s="146" t="s">
        <v>337</v>
      </c>
      <c r="D13" s="147" t="s">
        <v>338</v>
      </c>
      <c r="E13" s="151">
        <f>E14+E17+E20</f>
        <v>39931.300000000003</v>
      </c>
      <c r="F13" s="151">
        <f t="shared" ref="F13:G13" si="2">F14+F17+F20</f>
        <v>42810.3</v>
      </c>
      <c r="G13" s="151">
        <f t="shared" si="2"/>
        <v>46363.6</v>
      </c>
      <c r="H13" s="153"/>
      <c r="I13" s="153"/>
      <c r="J13" s="4"/>
      <c r="K13" s="4"/>
      <c r="L13" s="153"/>
      <c r="M13" s="4"/>
    </row>
    <row r="14" spans="1:13" ht="56.25" x14ac:dyDescent="0.25">
      <c r="A14" s="204" t="s">
        <v>2</v>
      </c>
      <c r="B14" s="150" t="s">
        <v>336</v>
      </c>
      <c r="C14" s="146" t="s">
        <v>339</v>
      </c>
      <c r="D14" s="147" t="s">
        <v>340</v>
      </c>
      <c r="E14" s="151">
        <f>E15+E16</f>
        <v>27643.7</v>
      </c>
      <c r="F14" s="151">
        <f t="shared" ref="F14:G14" si="3">F15+F16</f>
        <v>29636.799999999999</v>
      </c>
      <c r="G14" s="151">
        <f t="shared" si="3"/>
        <v>32096.7</v>
      </c>
      <c r="H14" s="153"/>
      <c r="I14" s="153"/>
      <c r="J14" s="4"/>
      <c r="K14" s="4"/>
      <c r="L14" s="154"/>
      <c r="M14" s="4"/>
    </row>
    <row r="15" spans="1:13" ht="38.25" customHeight="1" x14ac:dyDescent="0.25">
      <c r="A15" s="207" t="s">
        <v>341</v>
      </c>
      <c r="B15" s="155" t="s">
        <v>336</v>
      </c>
      <c r="C15" s="156" t="s">
        <v>342</v>
      </c>
      <c r="D15" s="157" t="s">
        <v>340</v>
      </c>
      <c r="E15" s="197">
        <v>27642.7</v>
      </c>
      <c r="F15" s="226">
        <v>29635.8</v>
      </c>
      <c r="G15" s="206">
        <v>32095.7</v>
      </c>
      <c r="H15" s="4"/>
      <c r="I15" s="159"/>
      <c r="J15" s="4"/>
      <c r="K15" s="4"/>
      <c r="L15" s="160"/>
      <c r="M15" s="161"/>
    </row>
    <row r="16" spans="1:13" ht="54.75" customHeight="1" x14ac:dyDescent="0.25">
      <c r="A16" s="207" t="s">
        <v>343</v>
      </c>
      <c r="B16" s="155" t="s">
        <v>336</v>
      </c>
      <c r="C16" s="156" t="s">
        <v>344</v>
      </c>
      <c r="D16" s="157" t="s">
        <v>345</v>
      </c>
      <c r="E16" s="158">
        <v>1</v>
      </c>
      <c r="F16" s="226">
        <v>1</v>
      </c>
      <c r="G16" s="225">
        <v>1</v>
      </c>
      <c r="H16" s="4"/>
      <c r="I16" s="159"/>
      <c r="J16" s="4"/>
      <c r="K16" s="4"/>
      <c r="L16" s="159"/>
      <c r="M16" s="4"/>
    </row>
    <row r="17" spans="1:14" ht="55.5" customHeight="1" x14ac:dyDescent="0.25">
      <c r="A17" s="204" t="s">
        <v>346</v>
      </c>
      <c r="B17" s="150" t="s">
        <v>336</v>
      </c>
      <c r="C17" s="146" t="s">
        <v>347</v>
      </c>
      <c r="D17" s="147" t="s">
        <v>348</v>
      </c>
      <c r="E17" s="151">
        <f>E18+E19</f>
        <v>12286.6</v>
      </c>
      <c r="F17" s="151">
        <f t="shared" ref="F17:G17" si="4">F18+F19</f>
        <v>13172.5</v>
      </c>
      <c r="G17" s="151">
        <f t="shared" si="4"/>
        <v>14265.9</v>
      </c>
      <c r="H17" s="4"/>
      <c r="I17" s="159"/>
      <c r="J17" s="4"/>
      <c r="K17" s="4"/>
      <c r="L17" s="159"/>
      <c r="M17" s="4"/>
    </row>
    <row r="18" spans="1:14" ht="56.25" x14ac:dyDescent="0.25">
      <c r="A18" s="207" t="s">
        <v>349</v>
      </c>
      <c r="B18" s="155" t="s">
        <v>336</v>
      </c>
      <c r="C18" s="156" t="s">
        <v>350</v>
      </c>
      <c r="D18" s="157" t="s">
        <v>348</v>
      </c>
      <c r="E18" s="197">
        <v>12285.6</v>
      </c>
      <c r="F18" s="226">
        <v>13171.5</v>
      </c>
      <c r="G18" s="225">
        <v>14264.9</v>
      </c>
      <c r="H18" s="4"/>
      <c r="I18" s="162"/>
      <c r="J18" s="4"/>
      <c r="K18" s="4"/>
      <c r="L18" s="163"/>
      <c r="M18" s="4"/>
      <c r="N18" s="164"/>
    </row>
    <row r="19" spans="1:14" ht="73.5" customHeight="1" x14ac:dyDescent="0.25">
      <c r="A19" s="207" t="s">
        <v>351</v>
      </c>
      <c r="B19" s="155" t="s">
        <v>336</v>
      </c>
      <c r="C19" s="156" t="s">
        <v>352</v>
      </c>
      <c r="D19" s="157" t="s">
        <v>353</v>
      </c>
      <c r="E19" s="158">
        <v>1</v>
      </c>
      <c r="F19" s="158">
        <v>1</v>
      </c>
      <c r="G19" s="225">
        <v>1</v>
      </c>
      <c r="H19" s="4"/>
      <c r="I19" s="159"/>
      <c r="J19" s="4"/>
      <c r="K19" s="4"/>
      <c r="L19" s="159"/>
      <c r="M19" s="4"/>
    </row>
    <row r="20" spans="1:14" ht="37.5" x14ac:dyDescent="0.25">
      <c r="A20" s="204" t="s">
        <v>354</v>
      </c>
      <c r="B20" s="150" t="s">
        <v>336</v>
      </c>
      <c r="C20" s="146" t="s">
        <v>355</v>
      </c>
      <c r="D20" s="147" t="s">
        <v>356</v>
      </c>
      <c r="E20" s="151">
        <v>1</v>
      </c>
      <c r="F20" s="227">
        <v>1</v>
      </c>
      <c r="G20" s="228">
        <v>1</v>
      </c>
      <c r="H20" s="4"/>
      <c r="I20" s="159"/>
      <c r="J20" s="4"/>
      <c r="K20" s="4"/>
      <c r="L20" s="159"/>
      <c r="M20" s="4"/>
    </row>
    <row r="21" spans="1:14" ht="37.5" x14ac:dyDescent="0.25">
      <c r="A21" s="204" t="s">
        <v>3</v>
      </c>
      <c r="B21" s="150" t="s">
        <v>336</v>
      </c>
      <c r="C21" s="146" t="s">
        <v>357</v>
      </c>
      <c r="D21" s="147" t="s">
        <v>358</v>
      </c>
      <c r="E21" s="151">
        <f>E22+E23</f>
        <v>13798.8</v>
      </c>
      <c r="F21" s="151">
        <f>F22+F23</f>
        <v>13798.8</v>
      </c>
      <c r="G21" s="151">
        <f t="shared" ref="G21" si="5">G22+G23</f>
        <v>13798.8</v>
      </c>
      <c r="H21" s="4"/>
      <c r="I21" s="159"/>
      <c r="J21" s="4"/>
      <c r="K21" s="4"/>
      <c r="L21" s="159"/>
      <c r="M21" s="4"/>
    </row>
    <row r="22" spans="1:14" ht="37.5" x14ac:dyDescent="0.25">
      <c r="A22" s="207" t="s">
        <v>4</v>
      </c>
      <c r="B22" s="155" t="s">
        <v>336</v>
      </c>
      <c r="C22" s="156" t="s">
        <v>359</v>
      </c>
      <c r="D22" s="157" t="s">
        <v>360</v>
      </c>
      <c r="E22" s="158">
        <v>13797.8</v>
      </c>
      <c r="F22" s="158">
        <v>13797.8</v>
      </c>
      <c r="G22" s="158">
        <v>13797.8</v>
      </c>
      <c r="H22" s="4"/>
      <c r="I22" s="159"/>
      <c r="J22" s="4"/>
      <c r="K22" s="4"/>
      <c r="L22" s="159"/>
      <c r="M22" s="4"/>
    </row>
    <row r="23" spans="1:14" ht="56.25" x14ac:dyDescent="0.25">
      <c r="A23" s="207" t="s">
        <v>5</v>
      </c>
      <c r="B23" s="155" t="s">
        <v>336</v>
      </c>
      <c r="C23" s="156" t="s">
        <v>361</v>
      </c>
      <c r="D23" s="157" t="s">
        <v>362</v>
      </c>
      <c r="E23" s="158">
        <v>1</v>
      </c>
      <c r="F23" s="158">
        <v>1</v>
      </c>
      <c r="G23" s="225">
        <v>1</v>
      </c>
      <c r="H23" s="4"/>
      <c r="I23" s="159"/>
      <c r="J23" s="4"/>
      <c r="K23" s="4"/>
      <c r="L23" s="159"/>
      <c r="M23" s="4"/>
    </row>
    <row r="24" spans="1:14" ht="37.5" x14ac:dyDescent="0.25">
      <c r="A24" s="204" t="s">
        <v>6</v>
      </c>
      <c r="B24" s="150" t="s">
        <v>336</v>
      </c>
      <c r="C24" s="146" t="s">
        <v>363</v>
      </c>
      <c r="D24" s="147" t="s">
        <v>364</v>
      </c>
      <c r="E24" s="151">
        <f>E25</f>
        <v>3542.7</v>
      </c>
      <c r="F24" s="151">
        <f t="shared" ref="F24:G24" si="6">F25</f>
        <v>4782.6000000000004</v>
      </c>
      <c r="G24" s="151">
        <f t="shared" si="6"/>
        <v>6456.5</v>
      </c>
      <c r="H24" s="4"/>
      <c r="I24" s="159"/>
      <c r="J24" s="4"/>
      <c r="K24" s="4"/>
      <c r="L24" s="159"/>
      <c r="M24" s="4"/>
    </row>
    <row r="25" spans="1:14" ht="56.25" x14ac:dyDescent="0.25">
      <c r="A25" s="207" t="s">
        <v>7</v>
      </c>
      <c r="B25" s="155" t="s">
        <v>336</v>
      </c>
      <c r="C25" s="155" t="s">
        <v>365</v>
      </c>
      <c r="D25" s="166" t="s">
        <v>366</v>
      </c>
      <c r="E25" s="158">
        <v>3542.7</v>
      </c>
      <c r="F25" s="158">
        <v>4782.6000000000004</v>
      </c>
      <c r="G25" s="225">
        <v>6456.5</v>
      </c>
      <c r="H25" s="165"/>
      <c r="I25" s="159"/>
      <c r="J25" s="4"/>
      <c r="K25" s="4"/>
      <c r="L25" s="159"/>
      <c r="M25" s="4"/>
    </row>
    <row r="26" spans="1:14" ht="18.75" hidden="1" x14ac:dyDescent="0.25">
      <c r="A26" s="204"/>
      <c r="B26" s="150"/>
      <c r="C26" s="146"/>
      <c r="D26" s="147"/>
      <c r="E26" s="151"/>
      <c r="F26" s="151"/>
      <c r="G26" s="203"/>
      <c r="H26" s="4"/>
      <c r="I26" s="4"/>
      <c r="J26" s="4"/>
      <c r="K26" s="4"/>
      <c r="L26" s="4"/>
      <c r="M26" s="4"/>
    </row>
    <row r="27" spans="1:14" ht="22.5" hidden="1" customHeight="1" x14ac:dyDescent="0.3">
      <c r="A27" s="204"/>
      <c r="B27" s="150"/>
      <c r="C27" s="146"/>
      <c r="D27" s="147"/>
      <c r="E27" s="151"/>
      <c r="F27" s="158"/>
      <c r="G27" s="205"/>
      <c r="H27" s="4"/>
      <c r="I27" s="4"/>
      <c r="J27" s="4"/>
      <c r="K27" s="4"/>
      <c r="L27" s="4"/>
      <c r="M27" s="4"/>
    </row>
    <row r="28" spans="1:14" ht="18.75" hidden="1" x14ac:dyDescent="0.25">
      <c r="A28" s="207"/>
      <c r="B28" s="155"/>
      <c r="C28" s="156"/>
      <c r="D28" s="157"/>
      <c r="E28" s="158"/>
      <c r="F28" s="158"/>
      <c r="G28" s="206"/>
      <c r="H28" s="4"/>
      <c r="I28" s="167"/>
      <c r="J28" s="4"/>
      <c r="K28" s="4"/>
      <c r="L28" s="4"/>
      <c r="M28" s="4"/>
    </row>
    <row r="29" spans="1:14" ht="56.25" x14ac:dyDescent="0.25">
      <c r="A29" s="204" t="s">
        <v>40</v>
      </c>
      <c r="B29" s="150" t="s">
        <v>331</v>
      </c>
      <c r="C29" s="146" t="s">
        <v>367</v>
      </c>
      <c r="D29" s="147" t="s">
        <v>368</v>
      </c>
      <c r="E29" s="151">
        <f>E30+E33</f>
        <v>21.2</v>
      </c>
      <c r="F29" s="151">
        <f t="shared" ref="F29:G29" si="7">F30+F33</f>
        <v>21.2</v>
      </c>
      <c r="G29" s="151">
        <f t="shared" si="7"/>
        <v>21.2</v>
      </c>
      <c r="H29" s="4"/>
      <c r="I29" s="4"/>
      <c r="J29" s="4"/>
      <c r="K29" s="4"/>
      <c r="L29" s="4"/>
      <c r="M29" s="4"/>
    </row>
    <row r="30" spans="1:14" ht="20.25" customHeight="1" x14ac:dyDescent="0.25">
      <c r="A30" s="204" t="s">
        <v>43</v>
      </c>
      <c r="B30" s="150" t="s">
        <v>331</v>
      </c>
      <c r="C30" s="146" t="s">
        <v>369</v>
      </c>
      <c r="D30" s="147" t="s">
        <v>370</v>
      </c>
      <c r="E30" s="151">
        <f>E32</f>
        <v>6.3</v>
      </c>
      <c r="F30" s="151">
        <f t="shared" ref="F30:G30" si="8">F32</f>
        <v>6.3</v>
      </c>
      <c r="G30" s="151">
        <f t="shared" si="8"/>
        <v>6.3</v>
      </c>
      <c r="H30" s="4"/>
      <c r="I30" s="4"/>
      <c r="J30" s="4"/>
      <c r="K30" s="4"/>
      <c r="L30" s="4"/>
      <c r="M30" s="4"/>
    </row>
    <row r="31" spans="1:14" ht="21.75" customHeight="1" x14ac:dyDescent="0.25">
      <c r="A31" s="204" t="s">
        <v>61</v>
      </c>
      <c r="B31" s="150" t="s">
        <v>331</v>
      </c>
      <c r="C31" s="146" t="s">
        <v>371</v>
      </c>
      <c r="D31" s="147" t="s">
        <v>372</v>
      </c>
      <c r="E31" s="151">
        <f>E32</f>
        <v>6.3</v>
      </c>
      <c r="F31" s="151">
        <f t="shared" ref="F31:G31" si="9">F32</f>
        <v>6.3</v>
      </c>
      <c r="G31" s="151">
        <f t="shared" si="9"/>
        <v>6.3</v>
      </c>
      <c r="H31" s="4"/>
      <c r="I31" s="4"/>
      <c r="J31" s="4"/>
      <c r="K31" s="4"/>
      <c r="L31" s="4"/>
      <c r="M31" s="4"/>
    </row>
    <row r="32" spans="1:14" ht="75" x14ac:dyDescent="0.25">
      <c r="A32" s="208" t="s">
        <v>373</v>
      </c>
      <c r="B32" s="168" t="s">
        <v>10</v>
      </c>
      <c r="C32" s="169" t="s">
        <v>374</v>
      </c>
      <c r="D32" s="170" t="s">
        <v>375</v>
      </c>
      <c r="E32" s="158">
        <v>6.3</v>
      </c>
      <c r="F32" s="158">
        <v>6.3</v>
      </c>
      <c r="G32" s="206">
        <v>6.3</v>
      </c>
      <c r="H32" s="4"/>
      <c r="I32" s="165"/>
      <c r="J32" s="4"/>
      <c r="K32" s="4"/>
      <c r="L32" s="4"/>
      <c r="M32" s="4"/>
    </row>
    <row r="33" spans="1:13" ht="18.75" x14ac:dyDescent="0.25">
      <c r="A33" s="204" t="s">
        <v>44</v>
      </c>
      <c r="B33" s="150" t="s">
        <v>331</v>
      </c>
      <c r="C33" s="146" t="s">
        <v>376</v>
      </c>
      <c r="D33" s="147" t="s">
        <v>377</v>
      </c>
      <c r="E33" s="151">
        <f>E34</f>
        <v>14.9</v>
      </c>
      <c r="F33" s="151">
        <f t="shared" ref="F33:G33" si="10">F34</f>
        <v>14.9</v>
      </c>
      <c r="G33" s="151">
        <f t="shared" si="10"/>
        <v>14.9</v>
      </c>
      <c r="H33" s="4"/>
      <c r="I33" s="4"/>
      <c r="J33" s="4"/>
      <c r="K33" s="4"/>
      <c r="L33" s="4"/>
      <c r="M33" s="4"/>
    </row>
    <row r="34" spans="1:13" ht="20.25" customHeight="1" x14ac:dyDescent="0.25">
      <c r="A34" s="204" t="s">
        <v>286</v>
      </c>
      <c r="B34" s="150" t="s">
        <v>331</v>
      </c>
      <c r="C34" s="146" t="s">
        <v>378</v>
      </c>
      <c r="D34" s="147" t="s">
        <v>379</v>
      </c>
      <c r="E34" s="151">
        <f>E36</f>
        <v>14.9</v>
      </c>
      <c r="F34" s="151">
        <f t="shared" ref="F34:G34" si="11">F36</f>
        <v>14.9</v>
      </c>
      <c r="G34" s="151">
        <f t="shared" si="11"/>
        <v>14.9</v>
      </c>
      <c r="H34" s="152"/>
      <c r="I34" s="4"/>
      <c r="J34" s="4"/>
      <c r="K34" s="4"/>
      <c r="L34" s="4"/>
      <c r="M34" s="4"/>
    </row>
    <row r="35" spans="1:13" ht="56.25" x14ac:dyDescent="0.25">
      <c r="A35" s="204" t="s">
        <v>380</v>
      </c>
      <c r="B35" s="150" t="s">
        <v>331</v>
      </c>
      <c r="C35" s="146" t="s">
        <v>381</v>
      </c>
      <c r="D35" s="147" t="s">
        <v>382</v>
      </c>
      <c r="E35" s="151">
        <f>E36</f>
        <v>14.9</v>
      </c>
      <c r="F35" s="151">
        <f t="shared" ref="F35:G35" si="12">F36</f>
        <v>14.9</v>
      </c>
      <c r="G35" s="151">
        <f t="shared" si="12"/>
        <v>14.9</v>
      </c>
      <c r="H35" s="4"/>
      <c r="I35" s="4"/>
      <c r="J35" s="4"/>
      <c r="K35" s="4"/>
      <c r="L35" s="4"/>
      <c r="M35" s="4"/>
    </row>
    <row r="36" spans="1:13" ht="96" customHeight="1" x14ac:dyDescent="0.3">
      <c r="A36" s="208" t="s">
        <v>383</v>
      </c>
      <c r="B36" s="168" t="s">
        <v>384</v>
      </c>
      <c r="C36" s="169" t="s">
        <v>385</v>
      </c>
      <c r="D36" s="2" t="s">
        <v>386</v>
      </c>
      <c r="E36" s="158">
        <v>14.9</v>
      </c>
      <c r="F36" s="221">
        <v>14.9</v>
      </c>
      <c r="G36" s="209">
        <v>14.9</v>
      </c>
      <c r="H36" s="4"/>
      <c r="I36" s="165"/>
      <c r="J36" s="4"/>
      <c r="K36" s="4"/>
      <c r="L36" s="4"/>
      <c r="M36" s="4"/>
    </row>
    <row r="37" spans="1:13" ht="21" customHeight="1" x14ac:dyDescent="0.25">
      <c r="A37" s="204" t="s">
        <v>8</v>
      </c>
      <c r="B37" s="150" t="s">
        <v>331</v>
      </c>
      <c r="C37" s="171" t="s">
        <v>387</v>
      </c>
      <c r="D37" s="147" t="s">
        <v>388</v>
      </c>
      <c r="E37" s="151">
        <f>E38+E39+E41</f>
        <v>3334.9000000000005</v>
      </c>
      <c r="F37" s="151">
        <f t="shared" ref="F37" si="13">F38+F39+F41</f>
        <v>3488.8000000000006</v>
      </c>
      <c r="G37" s="151">
        <f>G38+G39+G41</f>
        <v>3648.1</v>
      </c>
      <c r="H37" s="4"/>
      <c r="I37" s="4"/>
      <c r="J37" s="4"/>
      <c r="K37" s="4"/>
      <c r="L37" s="4"/>
      <c r="M37" s="4"/>
    </row>
    <row r="38" spans="1:13" ht="91.5" customHeight="1" x14ac:dyDescent="0.25">
      <c r="A38" s="207" t="s">
        <v>64</v>
      </c>
      <c r="B38" s="155" t="s">
        <v>336</v>
      </c>
      <c r="C38" s="172" t="s">
        <v>389</v>
      </c>
      <c r="D38" s="157" t="s">
        <v>390</v>
      </c>
      <c r="E38" s="158">
        <v>484</v>
      </c>
      <c r="F38" s="222">
        <v>484</v>
      </c>
      <c r="G38" s="229">
        <v>484</v>
      </c>
      <c r="H38" s="173"/>
      <c r="I38" s="173"/>
      <c r="J38" s="4"/>
      <c r="K38" s="4"/>
      <c r="L38" s="4"/>
      <c r="M38" s="4"/>
    </row>
    <row r="39" spans="1:13" ht="57" customHeight="1" x14ac:dyDescent="0.25">
      <c r="A39" s="204" t="s">
        <v>68</v>
      </c>
      <c r="B39" s="150" t="s">
        <v>331</v>
      </c>
      <c r="C39" s="171" t="s">
        <v>391</v>
      </c>
      <c r="D39" s="147" t="s">
        <v>392</v>
      </c>
      <c r="E39" s="151">
        <f>E40</f>
        <v>1</v>
      </c>
      <c r="F39" s="151">
        <f t="shared" ref="F39:G39" si="14">F40</f>
        <v>1</v>
      </c>
      <c r="G39" s="151">
        <f t="shared" si="14"/>
        <v>1</v>
      </c>
      <c r="H39" s="4"/>
      <c r="I39" s="4"/>
      <c r="J39" s="4"/>
      <c r="K39" s="4"/>
      <c r="L39" s="4"/>
      <c r="M39" s="4"/>
    </row>
    <row r="40" spans="1:13" ht="110.25" customHeight="1" x14ac:dyDescent="0.25">
      <c r="A40" s="207" t="s">
        <v>71</v>
      </c>
      <c r="B40" s="155" t="s">
        <v>393</v>
      </c>
      <c r="C40" s="172" t="s">
        <v>394</v>
      </c>
      <c r="D40" s="157" t="s">
        <v>395</v>
      </c>
      <c r="E40" s="158">
        <v>1</v>
      </c>
      <c r="F40" s="158">
        <v>1</v>
      </c>
      <c r="G40" s="225">
        <v>1</v>
      </c>
      <c r="H40" s="4"/>
      <c r="I40" s="174"/>
      <c r="J40" s="4"/>
      <c r="K40" s="4"/>
      <c r="L40" s="4"/>
      <c r="M40" s="4"/>
    </row>
    <row r="41" spans="1:13" ht="37.5" x14ac:dyDescent="0.25">
      <c r="A41" s="204" t="s">
        <v>72</v>
      </c>
      <c r="B41" s="150" t="s">
        <v>331</v>
      </c>
      <c r="C41" s="171" t="s">
        <v>396</v>
      </c>
      <c r="D41" s="147" t="s">
        <v>397</v>
      </c>
      <c r="E41" s="151">
        <f>SUM(E42)</f>
        <v>2849.9000000000005</v>
      </c>
      <c r="F41" s="151">
        <f t="shared" ref="F41:G41" si="15">SUM(F42)</f>
        <v>3003.8000000000006</v>
      </c>
      <c r="G41" s="151">
        <f t="shared" si="15"/>
        <v>3163.1</v>
      </c>
      <c r="H41" s="4"/>
      <c r="I41" s="4"/>
      <c r="J41" s="4"/>
      <c r="K41" s="4"/>
      <c r="L41" s="4"/>
      <c r="M41" s="4"/>
    </row>
    <row r="42" spans="1:13" ht="93.75" x14ac:dyDescent="0.25">
      <c r="A42" s="204" t="s">
        <v>73</v>
      </c>
      <c r="B42" s="150" t="s">
        <v>331</v>
      </c>
      <c r="C42" s="175" t="s">
        <v>398</v>
      </c>
      <c r="D42" s="147" t="s">
        <v>399</v>
      </c>
      <c r="E42" s="151">
        <f>SUM(E43:E48)</f>
        <v>2849.9000000000005</v>
      </c>
      <c r="F42" s="151">
        <f t="shared" ref="F42:G42" si="16">SUM(F43:F48)</f>
        <v>3003.8000000000006</v>
      </c>
      <c r="G42" s="151">
        <f t="shared" si="16"/>
        <v>3163.1</v>
      </c>
      <c r="H42" s="4"/>
      <c r="I42" s="4"/>
      <c r="J42" s="4"/>
      <c r="K42" s="4"/>
      <c r="L42" s="4"/>
      <c r="M42" s="4"/>
    </row>
    <row r="43" spans="1:13" ht="99.75" customHeight="1" x14ac:dyDescent="0.25">
      <c r="A43" s="207" t="s">
        <v>400</v>
      </c>
      <c r="B43" s="155" t="s">
        <v>401</v>
      </c>
      <c r="C43" s="172" t="s">
        <v>402</v>
      </c>
      <c r="D43" s="157" t="s">
        <v>439</v>
      </c>
      <c r="E43" s="197">
        <f>3400.3-1000</f>
        <v>2400.3000000000002</v>
      </c>
      <c r="F43" s="158">
        <v>2529.9</v>
      </c>
      <c r="G43" s="206">
        <v>2664.1</v>
      </c>
      <c r="H43" s="4"/>
      <c r="I43" s="176"/>
      <c r="J43" s="4"/>
      <c r="K43" s="4"/>
      <c r="L43" s="4"/>
      <c r="M43" s="4"/>
    </row>
    <row r="44" spans="1:13" ht="100.5" customHeight="1" x14ac:dyDescent="0.25">
      <c r="A44" s="207" t="s">
        <v>403</v>
      </c>
      <c r="B44" s="155" t="s">
        <v>404</v>
      </c>
      <c r="C44" s="172" t="s">
        <v>402</v>
      </c>
      <c r="D44" s="157" t="s">
        <v>439</v>
      </c>
      <c r="E44" s="197">
        <v>48.6</v>
      </c>
      <c r="F44" s="158">
        <v>51.3</v>
      </c>
      <c r="G44" s="206">
        <v>54</v>
      </c>
      <c r="H44" s="4"/>
      <c r="I44" s="173"/>
      <c r="J44" s="4"/>
      <c r="K44" s="4"/>
      <c r="L44" s="4"/>
      <c r="M44" s="4"/>
    </row>
    <row r="45" spans="1:13" ht="105" customHeight="1" x14ac:dyDescent="0.25">
      <c r="A45" s="207" t="s">
        <v>405</v>
      </c>
      <c r="B45" s="155" t="s">
        <v>406</v>
      </c>
      <c r="C45" s="172" t="s">
        <v>402</v>
      </c>
      <c r="D45" s="157" t="s">
        <v>439</v>
      </c>
      <c r="E45" s="197">
        <v>56.3</v>
      </c>
      <c r="F45" s="158">
        <v>59.3</v>
      </c>
      <c r="G45" s="206">
        <v>62.4</v>
      </c>
      <c r="H45" s="4"/>
      <c r="I45" s="173"/>
      <c r="J45" s="4"/>
      <c r="K45" s="4"/>
      <c r="L45" s="4"/>
      <c r="M45" s="4"/>
    </row>
    <row r="46" spans="1:13" ht="96" customHeight="1" x14ac:dyDescent="0.25">
      <c r="A46" s="207" t="s">
        <v>407</v>
      </c>
      <c r="B46" s="155" t="s">
        <v>408</v>
      </c>
      <c r="C46" s="172" t="s">
        <v>402</v>
      </c>
      <c r="D46" s="157" t="s">
        <v>439</v>
      </c>
      <c r="E46" s="158">
        <f>253.4-4.5</f>
        <v>248.9</v>
      </c>
      <c r="F46" s="158">
        <v>262.3</v>
      </c>
      <c r="G46" s="206">
        <v>276.2</v>
      </c>
      <c r="H46" s="4"/>
      <c r="I46" s="173"/>
      <c r="J46" s="4"/>
      <c r="K46" s="4"/>
      <c r="L46" s="4"/>
      <c r="M46" s="4"/>
    </row>
    <row r="47" spans="1:13" s="14" customFormat="1" ht="105" customHeight="1" x14ac:dyDescent="0.25">
      <c r="A47" s="208" t="s">
        <v>409</v>
      </c>
      <c r="B47" s="168" t="s">
        <v>410</v>
      </c>
      <c r="C47" s="177" t="s">
        <v>402</v>
      </c>
      <c r="D47" s="170" t="s">
        <v>439</v>
      </c>
      <c r="E47" s="158">
        <v>40.799999999999997</v>
      </c>
      <c r="F47" s="158">
        <v>43</v>
      </c>
      <c r="G47" s="206">
        <v>45.3</v>
      </c>
      <c r="H47" s="126"/>
      <c r="I47" s="178"/>
      <c r="J47" s="126"/>
      <c r="K47" s="126"/>
      <c r="L47" s="126"/>
      <c r="M47" s="126"/>
    </row>
    <row r="48" spans="1:13" ht="93.75" x14ac:dyDescent="0.25">
      <c r="A48" s="207" t="s">
        <v>411</v>
      </c>
      <c r="B48" s="155" t="s">
        <v>410</v>
      </c>
      <c r="C48" s="172" t="s">
        <v>412</v>
      </c>
      <c r="D48" s="157" t="s">
        <v>440</v>
      </c>
      <c r="E48" s="197">
        <v>55</v>
      </c>
      <c r="F48" s="158">
        <v>58</v>
      </c>
      <c r="G48" s="206">
        <v>61.1</v>
      </c>
      <c r="H48" s="4"/>
      <c r="I48" s="173"/>
      <c r="J48" s="4"/>
      <c r="K48" s="4"/>
      <c r="L48" s="4"/>
      <c r="M48" s="4"/>
    </row>
    <row r="49" spans="1:14" ht="18.75" x14ac:dyDescent="0.25">
      <c r="A49" s="204" t="s">
        <v>14</v>
      </c>
      <c r="B49" s="150" t="s">
        <v>331</v>
      </c>
      <c r="C49" s="171" t="s">
        <v>415</v>
      </c>
      <c r="D49" s="147" t="s">
        <v>416</v>
      </c>
      <c r="E49" s="151">
        <f t="shared" ref="E49:G50" si="17">E50</f>
        <v>8974.5</v>
      </c>
      <c r="F49" s="151">
        <f t="shared" si="17"/>
        <v>9339.5</v>
      </c>
      <c r="G49" s="203">
        <f t="shared" si="17"/>
        <v>9865.5999999999985</v>
      </c>
      <c r="H49" s="4"/>
      <c r="I49" s="4"/>
      <c r="J49" s="4"/>
      <c r="K49" s="4"/>
      <c r="L49" s="4"/>
      <c r="M49" s="4"/>
    </row>
    <row r="50" spans="1:14" ht="56.25" x14ac:dyDescent="0.25">
      <c r="A50" s="204" t="s">
        <v>12</v>
      </c>
      <c r="B50" s="150" t="s">
        <v>331</v>
      </c>
      <c r="C50" s="171" t="s">
        <v>417</v>
      </c>
      <c r="D50" s="147" t="s">
        <v>418</v>
      </c>
      <c r="E50" s="151">
        <f>E51</f>
        <v>8974.5</v>
      </c>
      <c r="F50" s="151">
        <f t="shared" si="17"/>
        <v>9339.5</v>
      </c>
      <c r="G50" s="203">
        <f t="shared" si="17"/>
        <v>9865.5999999999985</v>
      </c>
      <c r="H50" s="4"/>
      <c r="I50" s="4"/>
      <c r="J50" s="4"/>
      <c r="K50" s="4"/>
      <c r="L50" s="4"/>
      <c r="M50" s="4"/>
    </row>
    <row r="51" spans="1:14" ht="37.5" x14ac:dyDescent="0.25">
      <c r="A51" s="204" t="s">
        <v>15</v>
      </c>
      <c r="B51" s="150" t="s">
        <v>331</v>
      </c>
      <c r="C51" s="171" t="s">
        <v>420</v>
      </c>
      <c r="D51" s="147" t="s">
        <v>421</v>
      </c>
      <c r="E51" s="151">
        <f>E52+E56</f>
        <v>8974.5</v>
      </c>
      <c r="F51" s="151">
        <f t="shared" ref="F51:G51" si="18">F52+F56</f>
        <v>9339.5</v>
      </c>
      <c r="G51" s="203">
        <f t="shared" si="18"/>
        <v>9865.5999999999985</v>
      </c>
      <c r="H51" s="4"/>
      <c r="I51" s="4"/>
      <c r="J51" s="4"/>
      <c r="K51" s="4"/>
      <c r="L51" s="4"/>
      <c r="M51" s="4"/>
    </row>
    <row r="52" spans="1:14" ht="56.25" x14ac:dyDescent="0.25">
      <c r="A52" s="204" t="s">
        <v>13</v>
      </c>
      <c r="B52" s="150" t="s">
        <v>331</v>
      </c>
      <c r="C52" s="171" t="s">
        <v>422</v>
      </c>
      <c r="D52" s="147" t="s">
        <v>423</v>
      </c>
      <c r="E52" s="151">
        <f>E53</f>
        <v>2405</v>
      </c>
      <c r="F52" s="151">
        <f t="shared" ref="F52:G52" si="19">F53</f>
        <v>2415.6000000000004</v>
      </c>
      <c r="G52" s="203">
        <f t="shared" si="19"/>
        <v>2494.3999999999996</v>
      </c>
      <c r="H52" s="4"/>
      <c r="I52" s="4"/>
      <c r="J52" s="4"/>
      <c r="K52" s="4"/>
      <c r="L52" s="4"/>
      <c r="M52" s="4"/>
    </row>
    <row r="53" spans="1:14" ht="93.75" x14ac:dyDescent="0.25">
      <c r="A53" s="204" t="s">
        <v>419</v>
      </c>
      <c r="B53" s="150" t="s">
        <v>10</v>
      </c>
      <c r="C53" s="171" t="s">
        <v>424</v>
      </c>
      <c r="D53" s="179" t="s">
        <v>425</v>
      </c>
      <c r="E53" s="151">
        <f>E54+E55</f>
        <v>2405</v>
      </c>
      <c r="F53" s="151">
        <f t="shared" ref="F53:G53" si="20">F54+F55</f>
        <v>2415.6000000000004</v>
      </c>
      <c r="G53" s="203">
        <f t="shared" si="20"/>
        <v>2494.3999999999996</v>
      </c>
      <c r="H53" s="4"/>
      <c r="I53" s="4"/>
      <c r="J53" s="4"/>
      <c r="K53" s="4"/>
      <c r="L53" s="4"/>
      <c r="M53" s="4"/>
    </row>
    <row r="54" spans="1:14" ht="93.75" x14ac:dyDescent="0.25">
      <c r="A54" s="207" t="s">
        <v>448</v>
      </c>
      <c r="B54" s="155" t="s">
        <v>10</v>
      </c>
      <c r="C54" s="172" t="s">
        <v>426</v>
      </c>
      <c r="D54" s="180" t="s">
        <v>427</v>
      </c>
      <c r="E54" s="158">
        <v>2398.1</v>
      </c>
      <c r="F54" s="158">
        <v>2408.3000000000002</v>
      </c>
      <c r="G54" s="209">
        <v>2486.6999999999998</v>
      </c>
      <c r="H54" s="4"/>
      <c r="I54" s="4"/>
      <c r="J54" s="4"/>
      <c r="K54" s="4"/>
      <c r="L54" s="4"/>
      <c r="M54" s="4"/>
    </row>
    <row r="55" spans="1:14" ht="151.5" customHeight="1" x14ac:dyDescent="0.25">
      <c r="A55" s="207" t="s">
        <v>449</v>
      </c>
      <c r="B55" s="168" t="s">
        <v>10</v>
      </c>
      <c r="C55" s="177" t="s">
        <v>428</v>
      </c>
      <c r="D55" s="210" t="s">
        <v>429</v>
      </c>
      <c r="E55" s="158">
        <v>6.9</v>
      </c>
      <c r="F55" s="158">
        <v>7.3</v>
      </c>
      <c r="G55" s="209">
        <v>7.7</v>
      </c>
      <c r="H55" s="4"/>
      <c r="I55" s="4"/>
      <c r="J55" s="4"/>
      <c r="K55" s="4"/>
      <c r="L55" s="4"/>
      <c r="M55" s="4"/>
    </row>
    <row r="56" spans="1:14" ht="79.5" customHeight="1" x14ac:dyDescent="0.25">
      <c r="A56" s="204" t="s">
        <v>450</v>
      </c>
      <c r="B56" s="150" t="s">
        <v>331</v>
      </c>
      <c r="C56" s="171" t="s">
        <v>430</v>
      </c>
      <c r="D56" s="147" t="s">
        <v>431</v>
      </c>
      <c r="E56" s="151">
        <f>E57</f>
        <v>6569.5</v>
      </c>
      <c r="F56" s="151">
        <f t="shared" ref="F56:G56" si="21">F57</f>
        <v>6923.9</v>
      </c>
      <c r="G56" s="203">
        <f t="shared" si="21"/>
        <v>7371.2</v>
      </c>
      <c r="H56" s="4"/>
      <c r="I56" s="4"/>
      <c r="J56" s="4"/>
      <c r="K56" s="4"/>
      <c r="L56" s="4"/>
      <c r="M56" s="4"/>
    </row>
    <row r="57" spans="1:14" ht="114.75" customHeight="1" x14ac:dyDescent="0.25">
      <c r="A57" s="204" t="s">
        <v>451</v>
      </c>
      <c r="B57" s="150" t="s">
        <v>10</v>
      </c>
      <c r="C57" s="171" t="s">
        <v>432</v>
      </c>
      <c r="D57" s="147" t="s">
        <v>433</v>
      </c>
      <c r="E57" s="151">
        <f>E58+E59</f>
        <v>6569.5</v>
      </c>
      <c r="F57" s="151">
        <f t="shared" ref="F57:G57" si="22">F58+F59</f>
        <v>6923.9</v>
      </c>
      <c r="G57" s="203">
        <f t="shared" si="22"/>
        <v>7371.2</v>
      </c>
      <c r="H57" s="4"/>
      <c r="I57" s="4"/>
      <c r="J57" s="4"/>
      <c r="K57" s="4"/>
      <c r="L57" s="4"/>
      <c r="M57" s="4"/>
    </row>
    <row r="58" spans="1:14" ht="54.75" customHeight="1" x14ac:dyDescent="0.25">
      <c r="A58" s="207" t="s">
        <v>452</v>
      </c>
      <c r="B58" s="155" t="s">
        <v>10</v>
      </c>
      <c r="C58" s="172" t="s">
        <v>434</v>
      </c>
      <c r="D58" s="157" t="s">
        <v>435</v>
      </c>
      <c r="E58" s="158">
        <v>4276.1000000000004</v>
      </c>
      <c r="F58" s="191">
        <v>4506.8</v>
      </c>
      <c r="G58" s="209">
        <v>4745.8999999999996</v>
      </c>
      <c r="H58" s="4"/>
      <c r="I58" s="4"/>
      <c r="J58" s="4"/>
      <c r="K58" s="4"/>
      <c r="L58" s="4"/>
      <c r="M58" s="4"/>
    </row>
    <row r="59" spans="1:14" ht="57.75" customHeight="1" x14ac:dyDescent="0.25">
      <c r="A59" s="207" t="s">
        <v>453</v>
      </c>
      <c r="B59" s="155" t="s">
        <v>10</v>
      </c>
      <c r="C59" s="172" t="s">
        <v>436</v>
      </c>
      <c r="D59" s="181" t="s">
        <v>437</v>
      </c>
      <c r="E59" s="158">
        <v>2293.4</v>
      </c>
      <c r="F59" s="191">
        <v>2417.1</v>
      </c>
      <c r="G59" s="209">
        <v>2625.3</v>
      </c>
      <c r="H59" s="4"/>
      <c r="I59" s="4"/>
      <c r="J59" s="4"/>
      <c r="K59" s="4"/>
      <c r="L59" s="4"/>
      <c r="M59" s="4"/>
    </row>
    <row r="60" spans="1:14" ht="19.5" thickBot="1" x14ac:dyDescent="0.3">
      <c r="A60" s="211"/>
      <c r="B60" s="212"/>
      <c r="C60" s="212"/>
      <c r="D60" s="213" t="s">
        <v>438</v>
      </c>
      <c r="E60" s="214">
        <f>SUM(E11+E49)</f>
        <v>69603.399999999994</v>
      </c>
      <c r="F60" s="214">
        <f>SUM(F11+F49)</f>
        <v>74241.200000000012</v>
      </c>
      <c r="G60" s="215">
        <f>SUM(G11+G49)</f>
        <v>80153.799999999988</v>
      </c>
      <c r="H60" s="4"/>
      <c r="I60" s="159"/>
      <c r="J60" s="4"/>
      <c r="K60" s="4"/>
      <c r="L60" s="4"/>
      <c r="M60" s="4"/>
      <c r="N60" s="184"/>
    </row>
    <row r="61" spans="1:14" ht="15.75" x14ac:dyDescent="0.25">
      <c r="A61" s="1"/>
      <c r="B61" s="1"/>
      <c r="C61" s="1"/>
      <c r="D61" s="182"/>
      <c r="E61" s="183"/>
      <c r="F61" s="190"/>
      <c r="G61" s="126"/>
      <c r="H61" s="4"/>
      <c r="I61" s="4"/>
      <c r="J61" s="4"/>
      <c r="K61" s="4"/>
      <c r="L61" s="4"/>
      <c r="M61" s="4"/>
    </row>
    <row r="62" spans="1:14" x14ac:dyDescent="0.25">
      <c r="F62" s="126"/>
      <c r="G62" s="126"/>
      <c r="H62" s="4"/>
      <c r="I62" s="4"/>
      <c r="J62" s="4"/>
      <c r="K62" s="4"/>
      <c r="L62" s="4"/>
      <c r="M62" s="4"/>
    </row>
    <row r="64" spans="1:14" x14ac:dyDescent="0.25">
      <c r="M64" s="184"/>
    </row>
  </sheetData>
  <mergeCells count="12">
    <mergeCell ref="F1:G1"/>
    <mergeCell ref="F8:G8"/>
    <mergeCell ref="E2:G2"/>
    <mergeCell ref="E3:G3"/>
    <mergeCell ref="E4:G4"/>
    <mergeCell ref="A6:G6"/>
    <mergeCell ref="A8:A9"/>
    <mergeCell ref="B8:B9"/>
    <mergeCell ref="C8:C9"/>
    <mergeCell ref="D8:D9"/>
    <mergeCell ref="E8:E9"/>
    <mergeCell ref="C7:D7"/>
  </mergeCells>
  <pageMargins left="0.7" right="0.7" top="0.75" bottom="0.75" header="0.3" footer="0.3"/>
  <pageSetup paperSize="9" scale="48" fitToHeight="0" orientation="portrait" r:id="rId1"/>
  <rowBreaks count="2" manualBreakCount="2">
    <brk id="35" max="6" man="1"/>
    <brk id="4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148"/>
  <sheetViews>
    <sheetView view="pageBreakPreview" topLeftCell="A124" zoomScale="70" zoomScaleNormal="100" zoomScaleSheetLayoutView="70" workbookViewId="0">
      <selection activeCell="A7" sqref="A7"/>
    </sheetView>
  </sheetViews>
  <sheetFormatPr defaultRowHeight="15" x14ac:dyDescent="0.25"/>
  <cols>
    <col min="1" max="1" width="19.5703125" style="128" customWidth="1"/>
    <col min="2" max="2" width="66.140625" style="128" customWidth="1"/>
    <col min="3" max="3" width="10" style="128" customWidth="1"/>
    <col min="4" max="4" width="14.7109375" style="128" customWidth="1"/>
    <col min="5" max="5" width="16.5703125" style="128" customWidth="1"/>
    <col min="6" max="6" width="15.140625" style="128" customWidth="1"/>
    <col min="7" max="7" width="16" style="248" customWidth="1"/>
    <col min="8" max="8" width="13.28515625" style="294" customWidth="1"/>
    <col min="9" max="9" width="14.28515625" style="295" customWidth="1"/>
  </cols>
  <sheetData>
    <row r="1" spans="1:14" ht="19.5" x14ac:dyDescent="0.35">
      <c r="A1" s="121"/>
      <c r="B1" s="5"/>
      <c r="C1" s="6"/>
      <c r="D1" s="5"/>
      <c r="E1" s="230"/>
      <c r="F1" s="7"/>
      <c r="I1" s="10" t="s">
        <v>535</v>
      </c>
    </row>
    <row r="2" spans="1:14" ht="18.75" x14ac:dyDescent="0.3">
      <c r="A2" s="231"/>
      <c r="B2" s="5"/>
      <c r="C2" s="6"/>
      <c r="D2" s="6"/>
      <c r="E2" s="230"/>
      <c r="F2" s="7"/>
      <c r="I2" s="10" t="s">
        <v>18</v>
      </c>
    </row>
    <row r="3" spans="1:14" ht="18.75" x14ac:dyDescent="0.3">
      <c r="A3" s="231"/>
      <c r="B3" s="232"/>
      <c r="C3" s="9"/>
      <c r="D3" s="9"/>
      <c r="E3" s="9"/>
      <c r="F3" s="9"/>
      <c r="I3" s="10" t="s">
        <v>16</v>
      </c>
    </row>
    <row r="4" spans="1:14" ht="18.75" x14ac:dyDescent="0.3">
      <c r="A4" s="231"/>
      <c r="B4" s="11"/>
      <c r="C4" s="12"/>
      <c r="D4" s="13"/>
      <c r="E4" s="233"/>
      <c r="F4" s="9"/>
      <c r="I4" s="10" t="s">
        <v>533</v>
      </c>
    </row>
    <row r="5" spans="1:14" ht="18.75" x14ac:dyDescent="0.3">
      <c r="A5" s="234"/>
      <c r="B5" s="235"/>
      <c r="C5" s="236"/>
      <c r="D5" s="237"/>
      <c r="E5" s="238"/>
      <c r="F5" s="239"/>
      <c r="G5" s="240"/>
    </row>
    <row r="6" spans="1:14" ht="35.450000000000003" customHeight="1" x14ac:dyDescent="0.25">
      <c r="A6" s="318" t="s">
        <v>536</v>
      </c>
      <c r="B6" s="319"/>
      <c r="C6" s="319"/>
      <c r="D6" s="319"/>
      <c r="E6" s="319"/>
      <c r="F6" s="319"/>
      <c r="G6" s="319"/>
      <c r="H6" s="319"/>
      <c r="I6" s="319"/>
      <c r="L6" s="184">
        <f>G37+G41+G45+G47+G51+G53+G55+G57+G59+G61+G63+G69+G76+G78+G80+G82+G84+G86+G90+G92+G95+G108</f>
        <v>27829.500000000004</v>
      </c>
      <c r="M6" s="184">
        <f>H37+H41+H45+H47+H51+H53+H55+H57+H59+H61+H63+H69+H76+H78+H80+H82+H84+H86+H90+H92+H95+H108</f>
        <v>24687.100000000002</v>
      </c>
      <c r="N6" s="184">
        <f>I37+I41+I45+I47+I51+I53+I55+I57+I59+I61+I63+I69+I76+I78+I80+I82+I84+I86+I90+I92+I95+I108</f>
        <v>29091.400000000005</v>
      </c>
    </row>
    <row r="7" spans="1:14" ht="19.5" customHeight="1" x14ac:dyDescent="0.25">
      <c r="A7" s="252"/>
      <c r="B7" s="252"/>
      <c r="C7" s="252"/>
      <c r="D7" s="252"/>
      <c r="E7" s="252"/>
      <c r="F7" s="252"/>
      <c r="G7" s="296"/>
      <c r="H7" s="297"/>
      <c r="I7" s="192" t="s">
        <v>447</v>
      </c>
    </row>
    <row r="8" spans="1:14" ht="28.5" customHeight="1" x14ac:dyDescent="0.25">
      <c r="A8" s="320" t="s">
        <v>19</v>
      </c>
      <c r="B8" s="320" t="s">
        <v>20</v>
      </c>
      <c r="C8" s="320" t="s">
        <v>21</v>
      </c>
      <c r="D8" s="320" t="s">
        <v>464</v>
      </c>
      <c r="E8" s="320" t="s">
        <v>22</v>
      </c>
      <c r="F8" s="320" t="s">
        <v>23</v>
      </c>
      <c r="G8" s="322" t="s">
        <v>443</v>
      </c>
      <c r="H8" s="317" t="s">
        <v>444</v>
      </c>
      <c r="I8" s="317"/>
    </row>
    <row r="9" spans="1:14" ht="15.75" customHeight="1" x14ac:dyDescent="0.25">
      <c r="A9" s="321"/>
      <c r="B9" s="321"/>
      <c r="C9" s="321"/>
      <c r="D9" s="321"/>
      <c r="E9" s="321"/>
      <c r="F9" s="321"/>
      <c r="G9" s="323"/>
      <c r="H9" s="251" t="s">
        <v>445</v>
      </c>
      <c r="I9" s="251" t="s">
        <v>446</v>
      </c>
    </row>
    <row r="10" spans="1:14" ht="15.75" x14ac:dyDescent="0.25">
      <c r="A10" s="241">
        <v>1</v>
      </c>
      <c r="B10" s="241">
        <v>2</v>
      </c>
      <c r="C10" s="241" t="s">
        <v>24</v>
      </c>
      <c r="D10" s="241" t="s">
        <v>25</v>
      </c>
      <c r="E10" s="241" t="s">
        <v>26</v>
      </c>
      <c r="F10" s="241" t="s">
        <v>27</v>
      </c>
      <c r="G10" s="242">
        <v>7</v>
      </c>
      <c r="H10" s="250">
        <v>8</v>
      </c>
      <c r="I10" s="250">
        <v>9</v>
      </c>
    </row>
    <row r="11" spans="1:14" ht="79.5" customHeight="1" x14ac:dyDescent="0.3">
      <c r="A11" s="15" t="s">
        <v>28</v>
      </c>
      <c r="B11" s="16" t="s">
        <v>252</v>
      </c>
      <c r="C11" s="17">
        <v>903</v>
      </c>
      <c r="D11" s="18"/>
      <c r="E11" s="18"/>
      <c r="F11" s="18"/>
      <c r="G11" s="19">
        <f>G12+G39+G43+G49+G67+G71+G88+G97+G106</f>
        <v>63070.8</v>
      </c>
      <c r="H11" s="19">
        <f>H12+H39+H43+H49+H67+H71+H88+H97+H106</f>
        <v>60711.299999999996</v>
      </c>
      <c r="I11" s="19">
        <f>I12+I39+I43+I49+I67+I71+I88+I97+I106</f>
        <v>68640.2</v>
      </c>
    </row>
    <row r="12" spans="1:14" ht="20.25" x14ac:dyDescent="0.3">
      <c r="A12" s="20" t="s">
        <v>29</v>
      </c>
      <c r="B12" s="21" t="s">
        <v>30</v>
      </c>
      <c r="C12" s="20" t="s">
        <v>10</v>
      </c>
      <c r="D12" s="20" t="s">
        <v>31</v>
      </c>
      <c r="E12" s="20"/>
      <c r="F12" s="20"/>
      <c r="G12" s="22">
        <f>G13+G25+G28</f>
        <v>27938.100000000002</v>
      </c>
      <c r="H12" s="22">
        <f t="shared" ref="H12:I12" si="0">H13+H25+H28</f>
        <v>26682.9</v>
      </c>
      <c r="I12" s="22">
        <f t="shared" si="0"/>
        <v>27538.100000000002</v>
      </c>
    </row>
    <row r="13" spans="1:14" ht="54" customHeight="1" x14ac:dyDescent="0.3">
      <c r="A13" s="23" t="s">
        <v>32</v>
      </c>
      <c r="B13" s="2" t="s">
        <v>33</v>
      </c>
      <c r="C13" s="23" t="s">
        <v>10</v>
      </c>
      <c r="D13" s="23" t="s">
        <v>34</v>
      </c>
      <c r="E13" s="23"/>
      <c r="F13" s="23"/>
      <c r="G13" s="24">
        <f>G14+G16+G20+G22</f>
        <v>16679.8</v>
      </c>
      <c r="H13" s="24">
        <f t="shared" ref="H13:I13" si="1">H14+H16+H20+H22</f>
        <v>16029.3</v>
      </c>
      <c r="I13" s="24">
        <f t="shared" si="1"/>
        <v>16546.400000000001</v>
      </c>
    </row>
    <row r="14" spans="1:14" ht="18.75" x14ac:dyDescent="0.3">
      <c r="A14" s="23" t="s">
        <v>35</v>
      </c>
      <c r="B14" s="25" t="s">
        <v>36</v>
      </c>
      <c r="C14" s="23" t="s">
        <v>10</v>
      </c>
      <c r="D14" s="23" t="s">
        <v>34</v>
      </c>
      <c r="E14" s="23" t="s">
        <v>37</v>
      </c>
      <c r="F14" s="23"/>
      <c r="G14" s="24">
        <f>G15</f>
        <v>1217</v>
      </c>
      <c r="H14" s="24">
        <f t="shared" ref="H14:I14" si="2">H15</f>
        <v>1091.8</v>
      </c>
      <c r="I14" s="24">
        <f t="shared" si="2"/>
        <v>1125.3</v>
      </c>
    </row>
    <row r="15" spans="1:14" ht="93.75" x14ac:dyDescent="0.3">
      <c r="A15" s="23" t="s">
        <v>2</v>
      </c>
      <c r="B15" s="25" t="s">
        <v>38</v>
      </c>
      <c r="C15" s="23" t="s">
        <v>10</v>
      </c>
      <c r="D15" s="23" t="s">
        <v>34</v>
      </c>
      <c r="E15" s="23" t="s">
        <v>37</v>
      </c>
      <c r="F15" s="26" t="s">
        <v>39</v>
      </c>
      <c r="G15" s="27">
        <f>838.5+252.6+96.7+29.2</f>
        <v>1217</v>
      </c>
      <c r="H15" s="278">
        <f>838.5+253.3</f>
        <v>1091.8</v>
      </c>
      <c r="I15" s="278">
        <f>838.5+286.8</f>
        <v>1125.3</v>
      </c>
    </row>
    <row r="16" spans="1:14" ht="72.75" customHeight="1" x14ac:dyDescent="0.3">
      <c r="A16" s="23" t="s">
        <v>3</v>
      </c>
      <c r="B16" s="28" t="s">
        <v>41</v>
      </c>
      <c r="C16" s="26" t="s">
        <v>10</v>
      </c>
      <c r="D16" s="23" t="s">
        <v>34</v>
      </c>
      <c r="E16" s="23" t="s">
        <v>42</v>
      </c>
      <c r="F16" s="23"/>
      <c r="G16" s="24">
        <f>G17+G18+G19</f>
        <v>13057.8</v>
      </c>
      <c r="H16" s="24">
        <f t="shared" ref="H16:I16" si="3">H17+H18+H19</f>
        <v>12521.9</v>
      </c>
      <c r="I16" s="24">
        <f t="shared" si="3"/>
        <v>12926.7</v>
      </c>
    </row>
    <row r="17" spans="1:14" ht="90" customHeight="1" x14ac:dyDescent="0.3">
      <c r="A17" s="23" t="s">
        <v>4</v>
      </c>
      <c r="B17" s="25" t="s">
        <v>38</v>
      </c>
      <c r="C17" s="26" t="s">
        <v>10</v>
      </c>
      <c r="D17" s="26" t="s">
        <v>34</v>
      </c>
      <c r="E17" s="23" t="s">
        <v>42</v>
      </c>
      <c r="F17" s="23" t="s">
        <v>39</v>
      </c>
      <c r="G17" s="24">
        <f>0.6+7594.2+2293.5+494.9+149.5</f>
        <v>10532.699999999999</v>
      </c>
      <c r="H17" s="243">
        <f>0.6+7594.2+2293.5</f>
        <v>9888.2999999999993</v>
      </c>
      <c r="I17" s="278">
        <f>0.6+7594.2+2597.2</f>
        <v>10192</v>
      </c>
    </row>
    <row r="18" spans="1:14" ht="35.25" customHeight="1" x14ac:dyDescent="0.3">
      <c r="A18" s="23" t="s">
        <v>5</v>
      </c>
      <c r="B18" s="29" t="s">
        <v>45</v>
      </c>
      <c r="C18" s="26" t="s">
        <v>10</v>
      </c>
      <c r="D18" s="26" t="s">
        <v>34</v>
      </c>
      <c r="E18" s="23" t="s">
        <v>42</v>
      </c>
      <c r="F18" s="23" t="s">
        <v>46</v>
      </c>
      <c r="G18" s="24">
        <f>28.4+1157.7+46.2+59.2+74+21.2+150+194.4+140.5+672-39.7</f>
        <v>2503.9000000000005</v>
      </c>
      <c r="H18" s="243">
        <f>29.9+1248.5+27+106.9+78+22.3+158.1+202.6+54.4+684.7</f>
        <v>2612.4</v>
      </c>
      <c r="I18" s="243">
        <f>31.5+1314.7+27.4+112.6+82.1+23.5+166.5+213.4+44.3+697.5</f>
        <v>2713.5</v>
      </c>
      <c r="K18" t="s">
        <v>469</v>
      </c>
    </row>
    <row r="19" spans="1:14" ht="18.75" x14ac:dyDescent="0.3">
      <c r="A19" s="23" t="s">
        <v>325</v>
      </c>
      <c r="B19" s="30" t="s">
        <v>48</v>
      </c>
      <c r="C19" s="26" t="s">
        <v>10</v>
      </c>
      <c r="D19" s="23" t="s">
        <v>34</v>
      </c>
      <c r="E19" s="23" t="s">
        <v>42</v>
      </c>
      <c r="F19" s="23" t="s">
        <v>49</v>
      </c>
      <c r="G19" s="27">
        <f>16+4.9+0.3</f>
        <v>21.2</v>
      </c>
      <c r="H19" s="27">
        <f>16+4.9+0.3</f>
        <v>21.2</v>
      </c>
      <c r="I19" s="27">
        <f>16+4.9+0.3</f>
        <v>21.2</v>
      </c>
    </row>
    <row r="20" spans="1:14" ht="72" customHeight="1" x14ac:dyDescent="0.3">
      <c r="A20" s="23" t="s">
        <v>6</v>
      </c>
      <c r="B20" s="31" t="s">
        <v>50</v>
      </c>
      <c r="C20" s="26" t="s">
        <v>10</v>
      </c>
      <c r="D20" s="26" t="s">
        <v>34</v>
      </c>
      <c r="E20" s="26" t="s">
        <v>51</v>
      </c>
      <c r="F20" s="26"/>
      <c r="G20" s="27">
        <f>G21</f>
        <v>6.9</v>
      </c>
      <c r="H20" s="27">
        <f t="shared" ref="H20:I20" si="4">H21</f>
        <v>7.3</v>
      </c>
      <c r="I20" s="27">
        <f t="shared" si="4"/>
        <v>7.7</v>
      </c>
    </row>
    <row r="21" spans="1:14" ht="37.5" x14ac:dyDescent="0.3">
      <c r="A21" s="23" t="s">
        <v>7</v>
      </c>
      <c r="B21" s="29" t="s">
        <v>45</v>
      </c>
      <c r="C21" s="26" t="s">
        <v>10</v>
      </c>
      <c r="D21" s="26" t="s">
        <v>34</v>
      </c>
      <c r="E21" s="26" t="s">
        <v>51</v>
      </c>
      <c r="F21" s="26" t="s">
        <v>46</v>
      </c>
      <c r="G21" s="27">
        <v>6.9</v>
      </c>
      <c r="H21" s="276">
        <v>7.3</v>
      </c>
      <c r="I21" s="276">
        <v>7.7</v>
      </c>
    </row>
    <row r="22" spans="1:14" ht="70.5" customHeight="1" x14ac:dyDescent="0.3">
      <c r="A22" s="23" t="s">
        <v>52</v>
      </c>
      <c r="B22" s="32" t="s">
        <v>53</v>
      </c>
      <c r="C22" s="33" t="s">
        <v>10</v>
      </c>
      <c r="D22" s="26" t="s">
        <v>34</v>
      </c>
      <c r="E22" s="26" t="s">
        <v>54</v>
      </c>
      <c r="F22" s="26"/>
      <c r="G22" s="27">
        <f>G23+G24</f>
        <v>2398.1</v>
      </c>
      <c r="H22" s="27">
        <f t="shared" ref="H22:I22" si="5">H23+H24</f>
        <v>2408.3000000000002</v>
      </c>
      <c r="I22" s="27">
        <f t="shared" si="5"/>
        <v>2486.6999999999998</v>
      </c>
      <c r="N22">
        <f>120.1+1338.9+4780.7+1773.5+65+60+30+40+45+10+40+195</f>
        <v>8498.2000000000007</v>
      </c>
    </row>
    <row r="23" spans="1:14" ht="93.75" x14ac:dyDescent="0.3">
      <c r="A23" s="23" t="s">
        <v>55</v>
      </c>
      <c r="B23" s="32" t="s">
        <v>38</v>
      </c>
      <c r="C23" s="33" t="s">
        <v>10</v>
      </c>
      <c r="D23" s="26" t="s">
        <v>34</v>
      </c>
      <c r="E23" s="26" t="s">
        <v>54</v>
      </c>
      <c r="F23" s="26" t="s">
        <v>39</v>
      </c>
      <c r="G23" s="27">
        <f>2398.1-G24</f>
        <v>2208.7999999999997</v>
      </c>
      <c r="H23" s="278">
        <f>2408.3-H24</f>
        <v>2208.8000000000002</v>
      </c>
      <c r="I23" s="278">
        <f>2486.7-I24</f>
        <v>2276.6999999999998</v>
      </c>
    </row>
    <row r="24" spans="1:14" ht="35.25" customHeight="1" x14ac:dyDescent="0.3">
      <c r="A24" s="23" t="s">
        <v>56</v>
      </c>
      <c r="B24" s="31" t="s">
        <v>45</v>
      </c>
      <c r="C24" s="33" t="s">
        <v>10</v>
      </c>
      <c r="D24" s="26" t="s">
        <v>34</v>
      </c>
      <c r="E24" s="26" t="s">
        <v>54</v>
      </c>
      <c r="F24" s="26" t="s">
        <v>46</v>
      </c>
      <c r="G24" s="27">
        <v>189.3</v>
      </c>
      <c r="H24" s="279">
        <v>199.5</v>
      </c>
      <c r="I24" s="279">
        <v>210</v>
      </c>
    </row>
    <row r="25" spans="1:14" s="3" customFormat="1" ht="18.75" x14ac:dyDescent="0.3">
      <c r="A25" s="34" t="s">
        <v>308</v>
      </c>
      <c r="B25" s="35" t="s">
        <v>57</v>
      </c>
      <c r="C25" s="36" t="s">
        <v>10</v>
      </c>
      <c r="D25" s="36" t="s">
        <v>58</v>
      </c>
      <c r="E25" s="36"/>
      <c r="F25" s="36"/>
      <c r="G25" s="37">
        <f>G26</f>
        <v>65</v>
      </c>
      <c r="H25" s="37">
        <f t="shared" ref="H25:I26" si="6">H26</f>
        <v>65</v>
      </c>
      <c r="I25" s="37">
        <f t="shared" si="6"/>
        <v>65</v>
      </c>
    </row>
    <row r="26" spans="1:14" ht="18.75" x14ac:dyDescent="0.3">
      <c r="A26" s="23" t="s">
        <v>43</v>
      </c>
      <c r="B26" s="32" t="s">
        <v>59</v>
      </c>
      <c r="C26" s="33" t="s">
        <v>10</v>
      </c>
      <c r="D26" s="26" t="s">
        <v>58</v>
      </c>
      <c r="E26" s="26" t="s">
        <v>60</v>
      </c>
      <c r="F26" s="26"/>
      <c r="G26" s="27">
        <f>G27</f>
        <v>65</v>
      </c>
      <c r="H26" s="27">
        <f t="shared" si="6"/>
        <v>65</v>
      </c>
      <c r="I26" s="27">
        <f t="shared" si="6"/>
        <v>65</v>
      </c>
    </row>
    <row r="27" spans="1:14" ht="18.75" x14ac:dyDescent="0.3">
      <c r="A27" s="23" t="s">
        <v>61</v>
      </c>
      <c r="B27" s="32" t="s">
        <v>48</v>
      </c>
      <c r="C27" s="33" t="s">
        <v>10</v>
      </c>
      <c r="D27" s="26" t="s">
        <v>58</v>
      </c>
      <c r="E27" s="26" t="s">
        <v>60</v>
      </c>
      <c r="F27" s="26" t="s">
        <v>49</v>
      </c>
      <c r="G27" s="27">
        <v>65</v>
      </c>
      <c r="H27" s="278">
        <v>65</v>
      </c>
      <c r="I27" s="278">
        <v>65</v>
      </c>
      <c r="K27" t="s">
        <v>467</v>
      </c>
    </row>
    <row r="28" spans="1:14" ht="40.5" x14ac:dyDescent="0.3">
      <c r="A28" s="18" t="s">
        <v>309</v>
      </c>
      <c r="B28" s="38" t="s">
        <v>62</v>
      </c>
      <c r="C28" s="39" t="s">
        <v>10</v>
      </c>
      <c r="D28" s="18" t="s">
        <v>63</v>
      </c>
      <c r="E28" s="18"/>
      <c r="F28" s="18"/>
      <c r="G28" s="19">
        <f>G29+G33+G31+G37</f>
        <v>11193.300000000003</v>
      </c>
      <c r="H28" s="19">
        <f t="shared" ref="H28:I28" si="7">H29+H33+H31+H37</f>
        <v>10588.6</v>
      </c>
      <c r="I28" s="19">
        <f t="shared" si="7"/>
        <v>10926.7</v>
      </c>
    </row>
    <row r="29" spans="1:14" ht="20.25" customHeight="1" x14ac:dyDescent="0.3">
      <c r="A29" s="23" t="s">
        <v>64</v>
      </c>
      <c r="B29" s="40" t="s">
        <v>65</v>
      </c>
      <c r="C29" s="41" t="s">
        <v>10</v>
      </c>
      <c r="D29" s="23" t="s">
        <v>63</v>
      </c>
      <c r="E29" s="26" t="s">
        <v>66</v>
      </c>
      <c r="F29" s="23"/>
      <c r="G29" s="42">
        <f>G30</f>
        <v>396</v>
      </c>
      <c r="H29" s="42" t="str">
        <f t="shared" ref="H29:I29" si="8">H30</f>
        <v>417,4</v>
      </c>
      <c r="I29" s="42">
        <f t="shared" si="8"/>
        <v>440</v>
      </c>
    </row>
    <row r="30" spans="1:14" ht="37.5" x14ac:dyDescent="0.3">
      <c r="A30" s="26" t="s">
        <v>67</v>
      </c>
      <c r="B30" s="31" t="s">
        <v>45</v>
      </c>
      <c r="C30" s="33" t="s">
        <v>10</v>
      </c>
      <c r="D30" s="26" t="s">
        <v>63</v>
      </c>
      <c r="E30" s="26" t="s">
        <v>66</v>
      </c>
      <c r="F30" s="26" t="s">
        <v>46</v>
      </c>
      <c r="G30" s="27">
        <v>396</v>
      </c>
      <c r="H30" s="23" t="s">
        <v>468</v>
      </c>
      <c r="I30" s="279">
        <v>440</v>
      </c>
    </row>
    <row r="31" spans="1:14" ht="18.75" x14ac:dyDescent="0.3">
      <c r="A31" s="26" t="s">
        <v>68</v>
      </c>
      <c r="B31" s="31" t="s">
        <v>273</v>
      </c>
      <c r="C31" s="33" t="s">
        <v>10</v>
      </c>
      <c r="D31" s="26" t="s">
        <v>63</v>
      </c>
      <c r="E31" s="26" t="s">
        <v>274</v>
      </c>
      <c r="F31" s="26"/>
      <c r="G31" s="27">
        <f>G32</f>
        <v>99.199999999999989</v>
      </c>
      <c r="H31" s="27">
        <f t="shared" ref="H31:I31" si="9">H32</f>
        <v>104.69999999999999</v>
      </c>
      <c r="I31" s="27">
        <f t="shared" si="9"/>
        <v>110.19999999999999</v>
      </c>
    </row>
    <row r="32" spans="1:14" s="14" customFormat="1" ht="37.5" x14ac:dyDescent="0.3">
      <c r="A32" s="26" t="s">
        <v>71</v>
      </c>
      <c r="B32" s="31" t="s">
        <v>45</v>
      </c>
      <c r="C32" s="33" t="s">
        <v>10</v>
      </c>
      <c r="D32" s="26" t="s">
        <v>63</v>
      </c>
      <c r="E32" s="26" t="s">
        <v>274</v>
      </c>
      <c r="F32" s="26" t="s">
        <v>46</v>
      </c>
      <c r="G32" s="27">
        <f>31.6+67.6</f>
        <v>99.199999999999989</v>
      </c>
      <c r="H32" s="275">
        <f>33.4+71.3</f>
        <v>104.69999999999999</v>
      </c>
      <c r="I32" s="276">
        <f>35.1+75.1</f>
        <v>110.19999999999999</v>
      </c>
    </row>
    <row r="33" spans="1:9" ht="71.25" customHeight="1" x14ac:dyDescent="0.3">
      <c r="A33" s="26" t="s">
        <v>72</v>
      </c>
      <c r="B33" s="43" t="s">
        <v>69</v>
      </c>
      <c r="C33" s="33" t="s">
        <v>10</v>
      </c>
      <c r="D33" s="26" t="s">
        <v>63</v>
      </c>
      <c r="E33" s="26" t="s">
        <v>70</v>
      </c>
      <c r="F33" s="26"/>
      <c r="G33" s="27">
        <f>G34+G35+G36</f>
        <v>10678.100000000002</v>
      </c>
      <c r="H33" s="27">
        <f>H34+H35+H36</f>
        <v>10045.5</v>
      </c>
      <c r="I33" s="27">
        <f t="shared" ref="I33" si="10">I34+I35+I36</f>
        <v>10354.4</v>
      </c>
    </row>
    <row r="34" spans="1:9" ht="90.75" customHeight="1" x14ac:dyDescent="0.3">
      <c r="A34" s="26" t="s">
        <v>73</v>
      </c>
      <c r="B34" s="43" t="s">
        <v>38</v>
      </c>
      <c r="C34" s="33" t="s">
        <v>10</v>
      </c>
      <c r="D34" s="26" t="s">
        <v>63</v>
      </c>
      <c r="E34" s="44" t="s">
        <v>70</v>
      </c>
      <c r="F34" s="26" t="s">
        <v>39</v>
      </c>
      <c r="G34" s="27">
        <f>7619.5+2301.1+485.6+146.7</f>
        <v>10552.900000000001</v>
      </c>
      <c r="H34" s="278">
        <f>7619.5+2301.1</f>
        <v>9920.6</v>
      </c>
      <c r="I34" s="278">
        <f>7619.5+2605.9</f>
        <v>10225.4</v>
      </c>
    </row>
    <row r="35" spans="1:9" ht="35.25" customHeight="1" x14ac:dyDescent="0.3">
      <c r="A35" s="26" t="s">
        <v>275</v>
      </c>
      <c r="B35" s="31" t="s">
        <v>45</v>
      </c>
      <c r="C35" s="33" t="s">
        <v>10</v>
      </c>
      <c r="D35" s="26" t="s">
        <v>63</v>
      </c>
      <c r="E35" s="26" t="s">
        <v>70</v>
      </c>
      <c r="F35" s="26" t="s">
        <v>46</v>
      </c>
      <c r="G35" s="27">
        <f>6.9+50.7+2.8+14.5+48+2.2</f>
        <v>125.10000000000001</v>
      </c>
      <c r="H35" s="275">
        <f>7.3+53.5+2.9+13.1+48</f>
        <v>124.8</v>
      </c>
      <c r="I35" s="277">
        <f>7.7+56.3+3.1+13.8+48</f>
        <v>128.89999999999998</v>
      </c>
    </row>
    <row r="36" spans="1:9" ht="21.75" customHeight="1" x14ac:dyDescent="0.3">
      <c r="A36" s="26" t="s">
        <v>276</v>
      </c>
      <c r="B36" s="30" t="s">
        <v>48</v>
      </c>
      <c r="C36" s="33" t="s">
        <v>10</v>
      </c>
      <c r="D36" s="26" t="s">
        <v>63</v>
      </c>
      <c r="E36" s="26" t="s">
        <v>70</v>
      </c>
      <c r="F36" s="26" t="s">
        <v>49</v>
      </c>
      <c r="G36" s="27">
        <v>0.1</v>
      </c>
      <c r="H36" s="276">
        <v>0.1</v>
      </c>
      <c r="I36" s="23" t="s">
        <v>466</v>
      </c>
    </row>
    <row r="37" spans="1:9" ht="55.5" customHeight="1" x14ac:dyDescent="0.3">
      <c r="A37" s="26" t="s">
        <v>74</v>
      </c>
      <c r="B37" s="282" t="s">
        <v>489</v>
      </c>
      <c r="C37" s="33" t="s">
        <v>10</v>
      </c>
      <c r="D37" s="26" t="s">
        <v>63</v>
      </c>
      <c r="E37" s="44" t="s">
        <v>490</v>
      </c>
      <c r="F37" s="26"/>
      <c r="G37" s="27">
        <f>G38</f>
        <v>20</v>
      </c>
      <c r="H37" s="27">
        <f t="shared" ref="H37:I37" si="11">H38</f>
        <v>21</v>
      </c>
      <c r="I37" s="27">
        <f t="shared" si="11"/>
        <v>22.1</v>
      </c>
    </row>
    <row r="38" spans="1:9" ht="38.25" customHeight="1" x14ac:dyDescent="0.3">
      <c r="A38" s="26" t="s">
        <v>77</v>
      </c>
      <c r="B38" s="31" t="s">
        <v>45</v>
      </c>
      <c r="C38" s="33" t="s">
        <v>10</v>
      </c>
      <c r="D38" s="26" t="s">
        <v>63</v>
      </c>
      <c r="E38" s="44" t="s">
        <v>490</v>
      </c>
      <c r="F38" s="26" t="s">
        <v>46</v>
      </c>
      <c r="G38" s="27">
        <v>20</v>
      </c>
      <c r="H38" s="284">
        <v>21</v>
      </c>
      <c r="I38" s="283">
        <v>22.1</v>
      </c>
    </row>
    <row r="39" spans="1:9" ht="37.5" customHeight="1" x14ac:dyDescent="0.3">
      <c r="A39" s="20" t="s">
        <v>14</v>
      </c>
      <c r="B39" s="46" t="s">
        <v>78</v>
      </c>
      <c r="C39" s="47" t="s">
        <v>10</v>
      </c>
      <c r="D39" s="20" t="s">
        <v>79</v>
      </c>
      <c r="E39" s="20"/>
      <c r="F39" s="20"/>
      <c r="G39" s="22">
        <f>G40</f>
        <v>120.1</v>
      </c>
      <c r="H39" s="22">
        <f t="shared" ref="H39:I41" si="12">H40</f>
        <v>87.8</v>
      </c>
      <c r="I39" s="22">
        <f t="shared" si="12"/>
        <v>96</v>
      </c>
    </row>
    <row r="40" spans="1:9" ht="56.25" x14ac:dyDescent="0.3">
      <c r="A40" s="26" t="s">
        <v>310</v>
      </c>
      <c r="B40" s="2" t="s">
        <v>80</v>
      </c>
      <c r="C40" s="33" t="s">
        <v>10</v>
      </c>
      <c r="D40" s="26" t="s">
        <v>81</v>
      </c>
      <c r="E40" s="26"/>
      <c r="F40" s="26"/>
      <c r="G40" s="27">
        <f>G41</f>
        <v>120.1</v>
      </c>
      <c r="H40" s="27">
        <f t="shared" si="12"/>
        <v>87.8</v>
      </c>
      <c r="I40" s="27">
        <f t="shared" si="12"/>
        <v>96</v>
      </c>
    </row>
    <row r="41" spans="1:9" ht="147" customHeight="1" x14ac:dyDescent="0.3">
      <c r="A41" s="26" t="s">
        <v>15</v>
      </c>
      <c r="B41" s="48" t="s">
        <v>82</v>
      </c>
      <c r="C41" s="33" t="s">
        <v>10</v>
      </c>
      <c r="D41" s="26" t="s">
        <v>81</v>
      </c>
      <c r="E41" s="26" t="s">
        <v>83</v>
      </c>
      <c r="F41" s="26"/>
      <c r="G41" s="27">
        <f>G42</f>
        <v>120.1</v>
      </c>
      <c r="H41" s="27">
        <f t="shared" si="12"/>
        <v>87.8</v>
      </c>
      <c r="I41" s="27">
        <f t="shared" si="12"/>
        <v>96</v>
      </c>
    </row>
    <row r="42" spans="1:9" ht="37.5" x14ac:dyDescent="0.3">
      <c r="A42" s="26" t="s">
        <v>13</v>
      </c>
      <c r="B42" s="31" t="s">
        <v>45</v>
      </c>
      <c r="C42" s="33" t="s">
        <v>10</v>
      </c>
      <c r="D42" s="26" t="s">
        <v>81</v>
      </c>
      <c r="E42" s="26" t="s">
        <v>83</v>
      </c>
      <c r="F42" s="26" t="s">
        <v>46</v>
      </c>
      <c r="G42" s="27">
        <v>120.1</v>
      </c>
      <c r="H42" s="276">
        <v>87.8</v>
      </c>
      <c r="I42" s="275">
        <v>96</v>
      </c>
    </row>
    <row r="43" spans="1:9" ht="20.25" x14ac:dyDescent="0.3">
      <c r="A43" s="20" t="s">
        <v>24</v>
      </c>
      <c r="B43" s="46" t="s">
        <v>84</v>
      </c>
      <c r="C43" s="47" t="s">
        <v>10</v>
      </c>
      <c r="D43" s="20" t="s">
        <v>85</v>
      </c>
      <c r="E43" s="20"/>
      <c r="F43" s="20"/>
      <c r="G43" s="22">
        <f>G44</f>
        <v>20</v>
      </c>
      <c r="H43" s="22">
        <f t="shared" ref="H43:I45" si="13">H44</f>
        <v>21.2</v>
      </c>
      <c r="I43" s="22">
        <f t="shared" si="13"/>
        <v>22.2</v>
      </c>
    </row>
    <row r="44" spans="1:9" ht="18.75" x14ac:dyDescent="0.3">
      <c r="A44" s="26" t="s">
        <v>311</v>
      </c>
      <c r="B44" s="49" t="s">
        <v>86</v>
      </c>
      <c r="C44" s="33" t="s">
        <v>10</v>
      </c>
      <c r="D44" s="26" t="s">
        <v>87</v>
      </c>
      <c r="E44" s="44"/>
      <c r="F44" s="26"/>
      <c r="G44" s="27">
        <f>G45+G47</f>
        <v>20</v>
      </c>
      <c r="H44" s="27">
        <f t="shared" ref="H44:I44" si="14">H45+H47</f>
        <v>21.2</v>
      </c>
      <c r="I44" s="27">
        <f t="shared" si="14"/>
        <v>22.2</v>
      </c>
    </row>
    <row r="45" spans="1:9" ht="75" x14ac:dyDescent="0.3">
      <c r="A45" s="26" t="s">
        <v>312</v>
      </c>
      <c r="B45" s="50" t="s">
        <v>284</v>
      </c>
      <c r="C45" s="33" t="s">
        <v>10</v>
      </c>
      <c r="D45" s="26" t="s">
        <v>87</v>
      </c>
      <c r="E45" s="44" t="s">
        <v>88</v>
      </c>
      <c r="F45" s="26"/>
      <c r="G45" s="27">
        <f>G46</f>
        <v>10</v>
      </c>
      <c r="H45" s="27" t="str">
        <f t="shared" si="13"/>
        <v>10,6</v>
      </c>
      <c r="I45" s="27">
        <f t="shared" si="13"/>
        <v>11.1</v>
      </c>
    </row>
    <row r="46" spans="1:9" ht="37.5" x14ac:dyDescent="0.3">
      <c r="A46" s="26" t="s">
        <v>287</v>
      </c>
      <c r="B46" s="31" t="s">
        <v>45</v>
      </c>
      <c r="C46" s="33" t="s">
        <v>10</v>
      </c>
      <c r="D46" s="26" t="s">
        <v>87</v>
      </c>
      <c r="E46" s="44" t="s">
        <v>88</v>
      </c>
      <c r="F46" s="26" t="s">
        <v>46</v>
      </c>
      <c r="G46" s="27">
        <v>10</v>
      </c>
      <c r="H46" s="23" t="s">
        <v>475</v>
      </c>
      <c r="I46" s="276">
        <v>11.1</v>
      </c>
    </row>
    <row r="47" spans="1:9" ht="75" x14ac:dyDescent="0.3">
      <c r="A47" s="26" t="s">
        <v>484</v>
      </c>
      <c r="B47" s="50" t="s">
        <v>486</v>
      </c>
      <c r="C47" s="33" t="s">
        <v>10</v>
      </c>
      <c r="D47" s="26" t="s">
        <v>87</v>
      </c>
      <c r="E47" s="44" t="s">
        <v>487</v>
      </c>
      <c r="F47" s="26"/>
      <c r="G47" s="27">
        <f>G48</f>
        <v>10</v>
      </c>
      <c r="H47" s="27" t="str">
        <f t="shared" ref="H47:I47" si="15">H48</f>
        <v>10,6</v>
      </c>
      <c r="I47" s="27">
        <f t="shared" si="15"/>
        <v>11.1</v>
      </c>
    </row>
    <row r="48" spans="1:9" ht="37.5" x14ac:dyDescent="0.3">
      <c r="A48" s="26" t="s">
        <v>485</v>
      </c>
      <c r="B48" s="31" t="s">
        <v>45</v>
      </c>
      <c r="C48" s="33" t="s">
        <v>10</v>
      </c>
      <c r="D48" s="26" t="s">
        <v>87</v>
      </c>
      <c r="E48" s="44" t="s">
        <v>487</v>
      </c>
      <c r="F48" s="26" t="s">
        <v>46</v>
      </c>
      <c r="G48" s="27">
        <v>10</v>
      </c>
      <c r="H48" s="26" t="s">
        <v>475</v>
      </c>
      <c r="I48" s="285">
        <v>11.1</v>
      </c>
    </row>
    <row r="49" spans="1:9" ht="40.5" x14ac:dyDescent="0.3">
      <c r="A49" s="20" t="s">
        <v>25</v>
      </c>
      <c r="B49" s="46" t="s">
        <v>89</v>
      </c>
      <c r="C49" s="47" t="s">
        <v>10</v>
      </c>
      <c r="D49" s="20" t="s">
        <v>90</v>
      </c>
      <c r="E49" s="51"/>
      <c r="F49" s="20"/>
      <c r="G49" s="22">
        <f>G50</f>
        <v>19487.800000000003</v>
      </c>
      <c r="H49" s="22">
        <f t="shared" ref="H49:I49" si="16">H50</f>
        <v>16971.800000000003</v>
      </c>
      <c r="I49" s="22">
        <f t="shared" si="16"/>
        <v>22851.3</v>
      </c>
    </row>
    <row r="50" spans="1:9" ht="18.75" x14ac:dyDescent="0.3">
      <c r="A50" s="26" t="s">
        <v>313</v>
      </c>
      <c r="B50" s="32" t="s">
        <v>91</v>
      </c>
      <c r="C50" s="33" t="s">
        <v>10</v>
      </c>
      <c r="D50" s="26" t="s">
        <v>92</v>
      </c>
      <c r="E50" s="44"/>
      <c r="F50" s="26"/>
      <c r="G50" s="27">
        <f>G51+G53+G55+G57+G59+G61+G63+G65</f>
        <v>19487.800000000003</v>
      </c>
      <c r="H50" s="27">
        <f>H51+H53+H55+H57+H59+H61+H63+H65</f>
        <v>16971.800000000003</v>
      </c>
      <c r="I50" s="27">
        <f t="shared" ref="I50" si="17">I51+I53+I55+I57+I59+I61+I63+I65</f>
        <v>22851.3</v>
      </c>
    </row>
    <row r="51" spans="1:9" ht="37.5" x14ac:dyDescent="0.3">
      <c r="A51" s="36" t="s">
        <v>314</v>
      </c>
      <c r="B51" s="54" t="s">
        <v>93</v>
      </c>
      <c r="C51" s="52" t="s">
        <v>10</v>
      </c>
      <c r="D51" s="36" t="s">
        <v>92</v>
      </c>
      <c r="E51" s="53" t="s">
        <v>94</v>
      </c>
      <c r="F51" s="36"/>
      <c r="G51" s="37">
        <f>G52</f>
        <v>350.1</v>
      </c>
      <c r="H51" s="37">
        <f t="shared" ref="H51:I51" si="18">H52</f>
        <v>340.7</v>
      </c>
      <c r="I51" s="37">
        <f t="shared" si="18"/>
        <v>334.3</v>
      </c>
    </row>
    <row r="52" spans="1:9" ht="33.75" customHeight="1" x14ac:dyDescent="0.3">
      <c r="A52" s="26" t="s">
        <v>288</v>
      </c>
      <c r="B52" s="31" t="s">
        <v>45</v>
      </c>
      <c r="C52" s="26" t="s">
        <v>10</v>
      </c>
      <c r="D52" s="26" t="s">
        <v>92</v>
      </c>
      <c r="E52" s="44" t="s">
        <v>94</v>
      </c>
      <c r="F52" s="26" t="s">
        <v>46</v>
      </c>
      <c r="G52" s="27">
        <v>350.1</v>
      </c>
      <c r="H52" s="276">
        <v>340.7</v>
      </c>
      <c r="I52" s="276">
        <v>334.3</v>
      </c>
    </row>
    <row r="53" spans="1:9" ht="93.75" x14ac:dyDescent="0.3">
      <c r="A53" s="36" t="s">
        <v>278</v>
      </c>
      <c r="B53" s="54" t="s">
        <v>95</v>
      </c>
      <c r="C53" s="36" t="s">
        <v>10</v>
      </c>
      <c r="D53" s="36" t="s">
        <v>92</v>
      </c>
      <c r="E53" s="53" t="s">
        <v>246</v>
      </c>
      <c r="F53" s="36"/>
      <c r="G53" s="37">
        <f>G54</f>
        <v>250</v>
      </c>
      <c r="H53" s="37">
        <f t="shared" ref="H53:I53" si="19">H54</f>
        <v>179.60000000000002</v>
      </c>
      <c r="I53" s="37">
        <f t="shared" si="19"/>
        <v>189.10000000000002</v>
      </c>
    </row>
    <row r="54" spans="1:9" ht="37.5" x14ac:dyDescent="0.3">
      <c r="A54" s="26" t="s">
        <v>289</v>
      </c>
      <c r="B54" s="31" t="s">
        <v>45</v>
      </c>
      <c r="C54" s="26" t="s">
        <v>10</v>
      </c>
      <c r="D54" s="26" t="s">
        <v>92</v>
      </c>
      <c r="E54" s="44" t="s">
        <v>246</v>
      </c>
      <c r="F54" s="26" t="s">
        <v>46</v>
      </c>
      <c r="G54" s="27">
        <v>250</v>
      </c>
      <c r="H54" s="278">
        <f>16.5+153.3+9.8</f>
        <v>179.60000000000002</v>
      </c>
      <c r="I54" s="278">
        <f>17.4+161.4+10.3</f>
        <v>189.10000000000002</v>
      </c>
    </row>
    <row r="55" spans="1:9" s="3" customFormat="1" ht="39" customHeight="1" x14ac:dyDescent="0.3">
      <c r="A55" s="36" t="s">
        <v>279</v>
      </c>
      <c r="B55" s="54" t="s">
        <v>96</v>
      </c>
      <c r="C55" s="52" t="s">
        <v>10</v>
      </c>
      <c r="D55" s="36" t="s">
        <v>92</v>
      </c>
      <c r="E55" s="53" t="s">
        <v>97</v>
      </c>
      <c r="F55" s="36"/>
      <c r="G55" s="37">
        <f>G56</f>
        <v>4582.5999999999995</v>
      </c>
      <c r="H55" s="37">
        <f t="shared" ref="H55:I55" si="20">H56</f>
        <v>955.70000000000027</v>
      </c>
      <c r="I55" s="37">
        <f t="shared" si="20"/>
        <v>1006.4000000000005</v>
      </c>
    </row>
    <row r="56" spans="1:9" ht="33.75" customHeight="1" x14ac:dyDescent="0.3">
      <c r="A56" s="26" t="s">
        <v>290</v>
      </c>
      <c r="B56" s="31" t="s">
        <v>45</v>
      </c>
      <c r="C56" s="33" t="s">
        <v>10</v>
      </c>
      <c r="D56" s="26" t="s">
        <v>92</v>
      </c>
      <c r="E56" s="44" t="s">
        <v>97</v>
      </c>
      <c r="F56" s="26" t="s">
        <v>46</v>
      </c>
      <c r="G56" s="27">
        <f>4382.7+199.9</f>
        <v>4582.5999999999995</v>
      </c>
      <c r="H56" s="243">
        <f>4540.6+191-3775.9</f>
        <v>955.70000000000027</v>
      </c>
      <c r="I56" s="243">
        <f>4781.3+201.1-3976</f>
        <v>1006.4000000000005</v>
      </c>
    </row>
    <row r="57" spans="1:9" s="3" customFormat="1" ht="37.5" x14ac:dyDescent="0.3">
      <c r="A57" s="36" t="s">
        <v>280</v>
      </c>
      <c r="B57" s="54" t="s">
        <v>98</v>
      </c>
      <c r="C57" s="52" t="s">
        <v>10</v>
      </c>
      <c r="D57" s="36" t="s">
        <v>92</v>
      </c>
      <c r="E57" s="53" t="s">
        <v>247</v>
      </c>
      <c r="F57" s="36"/>
      <c r="G57" s="37">
        <f>G58</f>
        <v>250</v>
      </c>
      <c r="H57" s="37">
        <f t="shared" ref="H57:I57" si="21">H58</f>
        <v>75.3</v>
      </c>
      <c r="I57" s="37">
        <f t="shared" si="21"/>
        <v>95.2</v>
      </c>
    </row>
    <row r="58" spans="1:9" ht="37.5" x14ac:dyDescent="0.3">
      <c r="A58" s="26" t="s">
        <v>291</v>
      </c>
      <c r="B58" s="31" t="s">
        <v>45</v>
      </c>
      <c r="C58" s="33" t="s">
        <v>10</v>
      </c>
      <c r="D58" s="26" t="s">
        <v>92</v>
      </c>
      <c r="E58" s="44" t="s">
        <v>247</v>
      </c>
      <c r="F58" s="26" t="s">
        <v>46</v>
      </c>
      <c r="G58" s="27">
        <v>250</v>
      </c>
      <c r="H58" s="276">
        <v>75.3</v>
      </c>
      <c r="I58" s="276">
        <v>95.2</v>
      </c>
    </row>
    <row r="59" spans="1:9" s="3" customFormat="1" ht="70.5" customHeight="1" x14ac:dyDescent="0.3">
      <c r="A59" s="36" t="s">
        <v>281</v>
      </c>
      <c r="B59" s="54" t="s">
        <v>99</v>
      </c>
      <c r="C59" s="52" t="s">
        <v>10</v>
      </c>
      <c r="D59" s="36" t="s">
        <v>92</v>
      </c>
      <c r="E59" s="53" t="s">
        <v>248</v>
      </c>
      <c r="F59" s="36"/>
      <c r="G59" s="37">
        <f>G60</f>
        <v>579.79999999999995</v>
      </c>
      <c r="H59" s="37">
        <f t="shared" ref="H59:I59" si="22">H60</f>
        <v>806.5</v>
      </c>
      <c r="I59" s="37">
        <f t="shared" si="22"/>
        <v>849.3</v>
      </c>
    </row>
    <row r="60" spans="1:9" ht="37.5" x14ac:dyDescent="0.3">
      <c r="A60" s="26" t="s">
        <v>292</v>
      </c>
      <c r="B60" s="31" t="s">
        <v>45</v>
      </c>
      <c r="C60" s="33" t="s">
        <v>10</v>
      </c>
      <c r="D60" s="26" t="s">
        <v>92</v>
      </c>
      <c r="E60" s="44" t="s">
        <v>248</v>
      </c>
      <c r="F60" s="26" t="s">
        <v>46</v>
      </c>
      <c r="G60" s="27">
        <f>579.8</f>
        <v>579.79999999999995</v>
      </c>
      <c r="H60" s="276">
        <v>806.5</v>
      </c>
      <c r="I60" s="276">
        <v>849.3</v>
      </c>
    </row>
    <row r="61" spans="1:9" ht="38.25" customHeight="1" x14ac:dyDescent="0.3">
      <c r="A61" s="36" t="s">
        <v>282</v>
      </c>
      <c r="B61" s="54" t="s">
        <v>100</v>
      </c>
      <c r="C61" s="52" t="s">
        <v>10</v>
      </c>
      <c r="D61" s="36" t="s">
        <v>92</v>
      </c>
      <c r="E61" s="53" t="s">
        <v>249</v>
      </c>
      <c r="F61" s="36"/>
      <c r="G61" s="37">
        <f>G62</f>
        <v>3843.1</v>
      </c>
      <c r="H61" s="37">
        <f t="shared" ref="H61:I61" si="23">H62</f>
        <v>3934.9</v>
      </c>
      <c r="I61" s="37">
        <f t="shared" si="23"/>
        <v>2736.7</v>
      </c>
    </row>
    <row r="62" spans="1:9" ht="37.5" x14ac:dyDescent="0.3">
      <c r="A62" s="26" t="s">
        <v>293</v>
      </c>
      <c r="B62" s="31" t="s">
        <v>45</v>
      </c>
      <c r="C62" s="33" t="s">
        <v>10</v>
      </c>
      <c r="D62" s="26" t="s">
        <v>92</v>
      </c>
      <c r="E62" s="44" t="s">
        <v>249</v>
      </c>
      <c r="F62" s="26" t="s">
        <v>46</v>
      </c>
      <c r="G62" s="27">
        <f>5+1141.6+6+2690.5</f>
        <v>3843.1</v>
      </c>
      <c r="H62" s="243">
        <f>6.9+1235.1+6.4+2686.5</f>
        <v>3934.9</v>
      </c>
      <c r="I62" s="278">
        <f>4.4+839.6+6.7+1886</f>
        <v>2736.7</v>
      </c>
    </row>
    <row r="63" spans="1:9" ht="57" customHeight="1" x14ac:dyDescent="0.3">
      <c r="A63" s="36" t="s">
        <v>283</v>
      </c>
      <c r="B63" s="35" t="s">
        <v>101</v>
      </c>
      <c r="C63" s="52" t="s">
        <v>10</v>
      </c>
      <c r="D63" s="36" t="s">
        <v>92</v>
      </c>
      <c r="E63" s="53" t="s">
        <v>102</v>
      </c>
      <c r="F63" s="36"/>
      <c r="G63" s="37">
        <f>G64</f>
        <v>9632.2000000000007</v>
      </c>
      <c r="H63" s="37">
        <f t="shared" ref="H63:I63" si="24">H64</f>
        <v>9005.8000000000011</v>
      </c>
      <c r="I63" s="37">
        <f t="shared" si="24"/>
        <v>13755.6</v>
      </c>
    </row>
    <row r="64" spans="1:9" ht="37.5" x14ac:dyDescent="0.3">
      <c r="A64" s="26" t="s">
        <v>294</v>
      </c>
      <c r="B64" s="31" t="s">
        <v>45</v>
      </c>
      <c r="C64" s="33" t="s">
        <v>10</v>
      </c>
      <c r="D64" s="26" t="s">
        <v>92</v>
      </c>
      <c r="E64" s="44" t="s">
        <v>102</v>
      </c>
      <c r="F64" s="26" t="s">
        <v>46</v>
      </c>
      <c r="G64" s="27">
        <f>9632.2</f>
        <v>9632.2000000000007</v>
      </c>
      <c r="H64" s="243">
        <f>11033.6-770-1257.8</f>
        <v>9005.8000000000011</v>
      </c>
      <c r="I64" s="278">
        <f>11346.7+2436.8-27.9</f>
        <v>13755.6</v>
      </c>
    </row>
    <row r="65" spans="1:9" s="3" customFormat="1" ht="20.25" customHeight="1" x14ac:dyDescent="0.3">
      <c r="A65" s="36" t="s">
        <v>515</v>
      </c>
      <c r="B65" s="54" t="s">
        <v>514</v>
      </c>
      <c r="C65" s="52" t="s">
        <v>10</v>
      </c>
      <c r="D65" s="36" t="s">
        <v>92</v>
      </c>
      <c r="E65" s="53" t="s">
        <v>518</v>
      </c>
      <c r="F65" s="36"/>
      <c r="G65" s="37">
        <v>0</v>
      </c>
      <c r="H65" s="37">
        <f>H66</f>
        <v>1673.3</v>
      </c>
      <c r="I65" s="298">
        <f>I66</f>
        <v>3884.7</v>
      </c>
    </row>
    <row r="66" spans="1:9" ht="18.75" x14ac:dyDescent="0.3">
      <c r="A66" s="26" t="s">
        <v>516</v>
      </c>
      <c r="B66" s="31" t="s">
        <v>48</v>
      </c>
      <c r="C66" s="33" t="s">
        <v>10</v>
      </c>
      <c r="D66" s="26" t="s">
        <v>92</v>
      </c>
      <c r="E66" s="44" t="s">
        <v>518</v>
      </c>
      <c r="F66" s="26" t="s">
        <v>49</v>
      </c>
      <c r="G66" s="27">
        <v>0</v>
      </c>
      <c r="H66" s="299">
        <v>1673.3</v>
      </c>
      <c r="I66" s="300">
        <f>3976-91.3</f>
        <v>3884.7</v>
      </c>
    </row>
    <row r="67" spans="1:9" ht="20.25" x14ac:dyDescent="0.3">
      <c r="A67" s="20" t="s">
        <v>26</v>
      </c>
      <c r="B67" s="55" t="s">
        <v>103</v>
      </c>
      <c r="C67" s="47" t="s">
        <v>10</v>
      </c>
      <c r="D67" s="20" t="s">
        <v>104</v>
      </c>
      <c r="E67" s="51"/>
      <c r="F67" s="20"/>
      <c r="G67" s="22">
        <f>G69</f>
        <v>30</v>
      </c>
      <c r="H67" s="22" t="str">
        <f t="shared" ref="H67:I67" si="25">H69</f>
        <v>24,6</v>
      </c>
      <c r="I67" s="22">
        <f t="shared" si="25"/>
        <v>29.2</v>
      </c>
    </row>
    <row r="68" spans="1:9" ht="18.75" customHeight="1" x14ac:dyDescent="0.3">
      <c r="A68" s="26" t="s">
        <v>315</v>
      </c>
      <c r="B68" s="31" t="s">
        <v>105</v>
      </c>
      <c r="C68" s="33" t="s">
        <v>10</v>
      </c>
      <c r="D68" s="26" t="s">
        <v>106</v>
      </c>
      <c r="E68" s="44"/>
      <c r="F68" s="26"/>
      <c r="G68" s="27">
        <f>G69</f>
        <v>30</v>
      </c>
      <c r="H68" s="27" t="str">
        <f t="shared" ref="H68:I69" si="26">H69</f>
        <v>24,6</v>
      </c>
      <c r="I68" s="27">
        <f t="shared" si="26"/>
        <v>29.2</v>
      </c>
    </row>
    <row r="69" spans="1:9" ht="75" x14ac:dyDescent="0.3">
      <c r="A69" s="26" t="s">
        <v>208</v>
      </c>
      <c r="B69" s="31" t="s">
        <v>107</v>
      </c>
      <c r="C69" s="33" t="s">
        <v>10</v>
      </c>
      <c r="D69" s="26" t="s">
        <v>106</v>
      </c>
      <c r="E69" s="44" t="s">
        <v>108</v>
      </c>
      <c r="F69" s="26"/>
      <c r="G69" s="27">
        <f>G70</f>
        <v>30</v>
      </c>
      <c r="H69" s="27" t="str">
        <f t="shared" si="26"/>
        <v>24,6</v>
      </c>
      <c r="I69" s="27">
        <f t="shared" si="26"/>
        <v>29.2</v>
      </c>
    </row>
    <row r="70" spans="1:9" ht="37.5" x14ac:dyDescent="0.3">
      <c r="A70" s="26" t="s">
        <v>295</v>
      </c>
      <c r="B70" s="31" t="s">
        <v>45</v>
      </c>
      <c r="C70" s="33" t="s">
        <v>10</v>
      </c>
      <c r="D70" s="26" t="s">
        <v>106</v>
      </c>
      <c r="E70" s="44" t="s">
        <v>108</v>
      </c>
      <c r="F70" s="26" t="s">
        <v>46</v>
      </c>
      <c r="G70" s="27">
        <v>30</v>
      </c>
      <c r="H70" s="23" t="s">
        <v>483</v>
      </c>
      <c r="I70" s="276">
        <v>29.2</v>
      </c>
    </row>
    <row r="71" spans="1:9" ht="20.25" x14ac:dyDescent="0.3">
      <c r="A71" s="20" t="s">
        <v>27</v>
      </c>
      <c r="B71" s="55" t="s">
        <v>109</v>
      </c>
      <c r="C71" s="47" t="s">
        <v>10</v>
      </c>
      <c r="D71" s="20" t="s">
        <v>110</v>
      </c>
      <c r="E71" s="20"/>
      <c r="F71" s="20"/>
      <c r="G71" s="22">
        <f>G72+G75</f>
        <v>424.9</v>
      </c>
      <c r="H71" s="22">
        <f t="shared" ref="H71:I71" si="27">H72+H75</f>
        <v>440.70000000000005</v>
      </c>
      <c r="I71" s="22">
        <f t="shared" si="27"/>
        <v>466.7</v>
      </c>
    </row>
    <row r="72" spans="1:9" ht="37.5" x14ac:dyDescent="0.3">
      <c r="A72" s="36" t="s">
        <v>316</v>
      </c>
      <c r="B72" s="56" t="s">
        <v>111</v>
      </c>
      <c r="C72" s="52" t="s">
        <v>10</v>
      </c>
      <c r="D72" s="36" t="s">
        <v>112</v>
      </c>
      <c r="E72" s="36"/>
      <c r="F72" s="36"/>
      <c r="G72" s="37">
        <f>G73</f>
        <v>210</v>
      </c>
      <c r="H72" s="37" t="str">
        <f t="shared" ref="H72:I73" si="28">H73</f>
        <v>221,4</v>
      </c>
      <c r="I72" s="37" t="str">
        <f t="shared" si="28"/>
        <v>233,2</v>
      </c>
    </row>
    <row r="73" spans="1:9" ht="18.75" x14ac:dyDescent="0.3">
      <c r="A73" s="26" t="s">
        <v>317</v>
      </c>
      <c r="B73" s="31" t="s">
        <v>113</v>
      </c>
      <c r="C73" s="33" t="s">
        <v>10</v>
      </c>
      <c r="D73" s="26" t="s">
        <v>112</v>
      </c>
      <c r="E73" s="26" t="s">
        <v>114</v>
      </c>
      <c r="F73" s="26"/>
      <c r="G73" s="27">
        <f>G74</f>
        <v>210</v>
      </c>
      <c r="H73" s="27" t="str">
        <f t="shared" si="28"/>
        <v>221,4</v>
      </c>
      <c r="I73" s="27" t="str">
        <f t="shared" si="28"/>
        <v>233,2</v>
      </c>
    </row>
    <row r="74" spans="1:9" ht="37.5" x14ac:dyDescent="0.3">
      <c r="A74" s="26" t="s">
        <v>296</v>
      </c>
      <c r="B74" s="31" t="s">
        <v>45</v>
      </c>
      <c r="C74" s="33" t="s">
        <v>10</v>
      </c>
      <c r="D74" s="26" t="s">
        <v>112</v>
      </c>
      <c r="E74" s="26" t="s">
        <v>114</v>
      </c>
      <c r="F74" s="26" t="s">
        <v>46</v>
      </c>
      <c r="G74" s="27">
        <v>210</v>
      </c>
      <c r="H74" s="139" t="s">
        <v>493</v>
      </c>
      <c r="I74" s="23" t="s">
        <v>494</v>
      </c>
    </row>
    <row r="75" spans="1:9" ht="18.75" customHeight="1" x14ac:dyDescent="0.3">
      <c r="A75" s="36" t="s">
        <v>318</v>
      </c>
      <c r="B75" s="54" t="s">
        <v>118</v>
      </c>
      <c r="C75" s="52" t="s">
        <v>10</v>
      </c>
      <c r="D75" s="36" t="s">
        <v>119</v>
      </c>
      <c r="E75" s="53"/>
      <c r="F75" s="36"/>
      <c r="G75" s="37">
        <f>G76+G78+G80+G82+G84+G86</f>
        <v>214.9</v>
      </c>
      <c r="H75" s="37">
        <f t="shared" ref="H75:I75" si="29">H76+H78+H80+H82+H84+H86</f>
        <v>219.3</v>
      </c>
      <c r="I75" s="37">
        <f t="shared" si="29"/>
        <v>233.5</v>
      </c>
    </row>
    <row r="76" spans="1:9" ht="75" x14ac:dyDescent="0.3">
      <c r="A76" s="26" t="s">
        <v>214</v>
      </c>
      <c r="B76" s="31" t="s">
        <v>495</v>
      </c>
      <c r="C76" s="33" t="s">
        <v>10</v>
      </c>
      <c r="D76" s="26" t="s">
        <v>119</v>
      </c>
      <c r="E76" s="26" t="s">
        <v>117</v>
      </c>
      <c r="F76" s="26"/>
      <c r="G76" s="27">
        <f>G77</f>
        <v>59.9</v>
      </c>
      <c r="H76" s="27" t="str">
        <f t="shared" ref="H76:I76" si="30">H77</f>
        <v>66,9</v>
      </c>
      <c r="I76" s="27">
        <f t="shared" si="30"/>
        <v>64.900000000000006</v>
      </c>
    </row>
    <row r="77" spans="1:9" ht="37.5" x14ac:dyDescent="0.3">
      <c r="A77" s="26" t="s">
        <v>297</v>
      </c>
      <c r="B77" s="31" t="s">
        <v>45</v>
      </c>
      <c r="C77" s="33" t="s">
        <v>10</v>
      </c>
      <c r="D77" s="26" t="s">
        <v>119</v>
      </c>
      <c r="E77" s="26" t="s">
        <v>117</v>
      </c>
      <c r="F77" s="26" t="s">
        <v>46</v>
      </c>
      <c r="G77" s="27">
        <v>59.9</v>
      </c>
      <c r="H77" s="23" t="s">
        <v>482</v>
      </c>
      <c r="I77" s="276">
        <v>64.900000000000006</v>
      </c>
    </row>
    <row r="78" spans="1:9" ht="74.25" customHeight="1" x14ac:dyDescent="0.3">
      <c r="A78" s="26" t="s">
        <v>476</v>
      </c>
      <c r="B78" s="31" t="s">
        <v>120</v>
      </c>
      <c r="C78" s="33" t="s">
        <v>10</v>
      </c>
      <c r="D78" s="33" t="s">
        <v>119</v>
      </c>
      <c r="E78" s="26" t="s">
        <v>121</v>
      </c>
      <c r="F78" s="26"/>
      <c r="G78" s="27">
        <f>G79</f>
        <v>10</v>
      </c>
      <c r="H78" s="27" t="str">
        <f t="shared" ref="H78:I78" si="31">H79</f>
        <v>10,6</v>
      </c>
      <c r="I78" s="27">
        <f t="shared" si="31"/>
        <v>11.2</v>
      </c>
    </row>
    <row r="79" spans="1:9" ht="37.5" x14ac:dyDescent="0.3">
      <c r="A79" s="26" t="s">
        <v>477</v>
      </c>
      <c r="B79" s="31" t="s">
        <v>45</v>
      </c>
      <c r="C79" s="33" t="s">
        <v>10</v>
      </c>
      <c r="D79" s="33" t="s">
        <v>119</v>
      </c>
      <c r="E79" s="26" t="s">
        <v>121</v>
      </c>
      <c r="F79" s="26" t="s">
        <v>46</v>
      </c>
      <c r="G79" s="27">
        <v>10</v>
      </c>
      <c r="H79" s="23" t="s">
        <v>475</v>
      </c>
      <c r="I79" s="276">
        <v>11.2</v>
      </c>
    </row>
    <row r="80" spans="1:9" ht="70.5" customHeight="1" x14ac:dyDescent="0.3">
      <c r="A80" s="26" t="s">
        <v>478</v>
      </c>
      <c r="B80" s="57" t="s">
        <v>122</v>
      </c>
      <c r="C80" s="33" t="s">
        <v>10</v>
      </c>
      <c r="D80" s="26" t="s">
        <v>119</v>
      </c>
      <c r="E80" s="26" t="s">
        <v>123</v>
      </c>
      <c r="F80" s="26"/>
      <c r="G80" s="27">
        <f>G81</f>
        <v>65</v>
      </c>
      <c r="H80" s="27" t="str">
        <f t="shared" ref="H80:I80" si="32">H81</f>
        <v>53,8</v>
      </c>
      <c r="I80" s="27">
        <f t="shared" si="32"/>
        <v>63.3</v>
      </c>
    </row>
    <row r="81" spans="1:9" ht="37.5" x14ac:dyDescent="0.3">
      <c r="A81" s="26" t="s">
        <v>479</v>
      </c>
      <c r="B81" s="31" t="s">
        <v>45</v>
      </c>
      <c r="C81" s="33" t="s">
        <v>10</v>
      </c>
      <c r="D81" s="33" t="s">
        <v>119</v>
      </c>
      <c r="E81" s="26" t="s">
        <v>123</v>
      </c>
      <c r="F81" s="26" t="s">
        <v>46</v>
      </c>
      <c r="G81" s="27">
        <v>65</v>
      </c>
      <c r="H81" s="23" t="s">
        <v>474</v>
      </c>
      <c r="I81" s="276">
        <v>63.3</v>
      </c>
    </row>
    <row r="82" spans="1:9" ht="108" customHeight="1" x14ac:dyDescent="0.3">
      <c r="A82" s="26" t="s">
        <v>480</v>
      </c>
      <c r="B82" s="31" t="s">
        <v>244</v>
      </c>
      <c r="C82" s="33" t="s">
        <v>10</v>
      </c>
      <c r="D82" s="33" t="s">
        <v>119</v>
      </c>
      <c r="E82" s="26" t="s">
        <v>124</v>
      </c>
      <c r="F82" s="26"/>
      <c r="G82" s="27">
        <f>G83</f>
        <v>45</v>
      </c>
      <c r="H82" s="27">
        <f t="shared" ref="H82:I82" si="33">H83</f>
        <v>51</v>
      </c>
      <c r="I82" s="27">
        <f t="shared" si="33"/>
        <v>55</v>
      </c>
    </row>
    <row r="83" spans="1:9" ht="33.75" customHeight="1" x14ac:dyDescent="0.3">
      <c r="A83" s="26" t="s">
        <v>481</v>
      </c>
      <c r="B83" s="31" t="s">
        <v>45</v>
      </c>
      <c r="C83" s="33" t="s">
        <v>10</v>
      </c>
      <c r="D83" s="33" t="s">
        <v>119</v>
      </c>
      <c r="E83" s="26" t="s">
        <v>124</v>
      </c>
      <c r="F83" s="26" t="s">
        <v>46</v>
      </c>
      <c r="G83" s="27">
        <v>45</v>
      </c>
      <c r="H83" s="277">
        <v>51</v>
      </c>
      <c r="I83" s="279">
        <v>55</v>
      </c>
    </row>
    <row r="84" spans="1:9" ht="151.5" customHeight="1" x14ac:dyDescent="0.3">
      <c r="A84" s="26" t="s">
        <v>491</v>
      </c>
      <c r="B84" s="2" t="s">
        <v>75</v>
      </c>
      <c r="C84" s="33" t="s">
        <v>10</v>
      </c>
      <c r="D84" s="26" t="s">
        <v>119</v>
      </c>
      <c r="E84" s="26" t="s">
        <v>76</v>
      </c>
      <c r="F84" s="26"/>
      <c r="G84" s="27">
        <f>G85</f>
        <v>10</v>
      </c>
      <c r="H84" s="27">
        <f t="shared" ref="H84:I84" si="34">H85</f>
        <v>10.6</v>
      </c>
      <c r="I84" s="27">
        <f t="shared" si="34"/>
        <v>11.2</v>
      </c>
    </row>
    <row r="85" spans="1:9" ht="33.75" customHeight="1" x14ac:dyDescent="0.3">
      <c r="A85" s="26" t="s">
        <v>492</v>
      </c>
      <c r="B85" s="31" t="s">
        <v>45</v>
      </c>
      <c r="C85" s="33" t="s">
        <v>10</v>
      </c>
      <c r="D85" s="26" t="s">
        <v>119</v>
      </c>
      <c r="E85" s="26" t="s">
        <v>76</v>
      </c>
      <c r="F85" s="26" t="s">
        <v>46</v>
      </c>
      <c r="G85" s="27">
        <v>10</v>
      </c>
      <c r="H85" s="276">
        <v>10.6</v>
      </c>
      <c r="I85" s="276">
        <v>11.2</v>
      </c>
    </row>
    <row r="86" spans="1:9" ht="197.25" customHeight="1" x14ac:dyDescent="0.3">
      <c r="A86" s="26" t="s">
        <v>496</v>
      </c>
      <c r="B86" s="31" t="s">
        <v>499</v>
      </c>
      <c r="C86" s="33" t="s">
        <v>10</v>
      </c>
      <c r="D86" s="26" t="s">
        <v>119</v>
      </c>
      <c r="E86" s="26" t="s">
        <v>498</v>
      </c>
      <c r="F86" s="26"/>
      <c r="G86" s="27">
        <f>G87</f>
        <v>25</v>
      </c>
      <c r="H86" s="27">
        <f t="shared" ref="H86:I86" si="35">H87</f>
        <v>26.4</v>
      </c>
      <c r="I86" s="27">
        <f t="shared" si="35"/>
        <v>27.9</v>
      </c>
    </row>
    <row r="87" spans="1:9" ht="33.75" customHeight="1" x14ac:dyDescent="0.3">
      <c r="A87" s="26" t="s">
        <v>497</v>
      </c>
      <c r="B87" s="31" t="s">
        <v>45</v>
      </c>
      <c r="C87" s="33" t="s">
        <v>10</v>
      </c>
      <c r="D87" s="26" t="s">
        <v>119</v>
      </c>
      <c r="E87" s="26" t="s">
        <v>498</v>
      </c>
      <c r="F87" s="26" t="s">
        <v>46</v>
      </c>
      <c r="G87" s="27">
        <v>25</v>
      </c>
      <c r="H87" s="285">
        <v>26.4</v>
      </c>
      <c r="I87" s="285">
        <v>27.9</v>
      </c>
    </row>
    <row r="88" spans="1:9" ht="20.25" x14ac:dyDescent="0.3">
      <c r="A88" s="20" t="s">
        <v>179</v>
      </c>
      <c r="B88" s="55" t="s">
        <v>125</v>
      </c>
      <c r="C88" s="47" t="s">
        <v>10</v>
      </c>
      <c r="D88" s="20" t="s">
        <v>126</v>
      </c>
      <c r="E88" s="20"/>
      <c r="F88" s="20"/>
      <c r="G88" s="22">
        <f>G89+G94</f>
        <v>7896.7000000000007</v>
      </c>
      <c r="H88" s="22">
        <f t="shared" ref="H88:I88" si="36">H89+H94</f>
        <v>8956</v>
      </c>
      <c r="I88" s="22">
        <f t="shared" si="36"/>
        <v>9656.9</v>
      </c>
    </row>
    <row r="89" spans="1:9" ht="18.75" x14ac:dyDescent="0.3">
      <c r="A89" s="26" t="s">
        <v>319</v>
      </c>
      <c r="B89" s="31" t="s">
        <v>127</v>
      </c>
      <c r="C89" s="33" t="s">
        <v>10</v>
      </c>
      <c r="D89" s="26" t="s">
        <v>128</v>
      </c>
      <c r="E89" s="26"/>
      <c r="F89" s="26"/>
      <c r="G89" s="27">
        <f>G90+G92</f>
        <v>6557.8</v>
      </c>
      <c r="H89" s="27">
        <f t="shared" ref="H89:I89" si="37">H90+H92</f>
        <v>7247.2</v>
      </c>
      <c r="I89" s="27">
        <f t="shared" si="37"/>
        <v>8143.3</v>
      </c>
    </row>
    <row r="90" spans="1:9" ht="53.25" customHeight="1" x14ac:dyDescent="0.3">
      <c r="A90" s="26" t="s">
        <v>220</v>
      </c>
      <c r="B90" s="32" t="s">
        <v>129</v>
      </c>
      <c r="C90" s="33" t="s">
        <v>10</v>
      </c>
      <c r="D90" s="26" t="s">
        <v>130</v>
      </c>
      <c r="E90" s="26" t="s">
        <v>131</v>
      </c>
      <c r="F90" s="26"/>
      <c r="G90" s="27">
        <f>G91</f>
        <v>4784.3</v>
      </c>
      <c r="H90" s="27">
        <f t="shared" ref="H90:I90" si="38">H91</f>
        <v>5343.9</v>
      </c>
      <c r="I90" s="27" t="str">
        <f t="shared" si="38"/>
        <v>6122,8</v>
      </c>
    </row>
    <row r="91" spans="1:9" ht="37.5" x14ac:dyDescent="0.3">
      <c r="A91" s="26" t="s">
        <v>298</v>
      </c>
      <c r="B91" s="31" t="s">
        <v>45</v>
      </c>
      <c r="C91" s="33" t="s">
        <v>10</v>
      </c>
      <c r="D91" s="26" t="s">
        <v>128</v>
      </c>
      <c r="E91" s="26" t="s">
        <v>131</v>
      </c>
      <c r="F91" s="26" t="s">
        <v>46</v>
      </c>
      <c r="G91" s="187">
        <v>4784.3</v>
      </c>
      <c r="H91" s="278">
        <v>5343.9</v>
      </c>
      <c r="I91" s="243" t="s">
        <v>500</v>
      </c>
    </row>
    <row r="92" spans="1:9" ht="93.75" x14ac:dyDescent="0.3">
      <c r="A92" s="26" t="s">
        <v>240</v>
      </c>
      <c r="B92" s="66" t="s">
        <v>178</v>
      </c>
      <c r="C92" s="33" t="s">
        <v>10</v>
      </c>
      <c r="D92" s="26" t="s">
        <v>130</v>
      </c>
      <c r="E92" s="26" t="s">
        <v>250</v>
      </c>
      <c r="F92" s="26"/>
      <c r="G92" s="125">
        <f>G93</f>
        <v>1773.5</v>
      </c>
      <c r="H92" s="125">
        <f t="shared" ref="H92:I92" si="39">H93</f>
        <v>1903.3</v>
      </c>
      <c r="I92" s="125">
        <f t="shared" si="39"/>
        <v>2020.5</v>
      </c>
    </row>
    <row r="93" spans="1:9" ht="37.5" x14ac:dyDescent="0.3">
      <c r="A93" s="26" t="s">
        <v>299</v>
      </c>
      <c r="B93" s="30" t="s">
        <v>45</v>
      </c>
      <c r="C93" s="33" t="s">
        <v>10</v>
      </c>
      <c r="D93" s="26" t="s">
        <v>130</v>
      </c>
      <c r="E93" s="26" t="s">
        <v>250</v>
      </c>
      <c r="F93" s="26" t="s">
        <v>46</v>
      </c>
      <c r="G93" s="125">
        <v>1773.5</v>
      </c>
      <c r="H93" s="278">
        <v>1903.3</v>
      </c>
      <c r="I93" s="243">
        <v>2020.5</v>
      </c>
    </row>
    <row r="94" spans="1:9" ht="37.5" x14ac:dyDescent="0.3">
      <c r="A94" s="26" t="s">
        <v>320</v>
      </c>
      <c r="B94" s="31" t="s">
        <v>132</v>
      </c>
      <c r="C94" s="33" t="s">
        <v>10</v>
      </c>
      <c r="D94" s="26" t="s">
        <v>133</v>
      </c>
      <c r="E94" s="26"/>
      <c r="F94" s="26"/>
      <c r="G94" s="27">
        <f>G95</f>
        <v>1338.9</v>
      </c>
      <c r="H94" s="27" t="str">
        <f t="shared" ref="H94:I95" si="40">H95</f>
        <v>1708,8</v>
      </c>
      <c r="I94" s="27" t="str">
        <f t="shared" si="40"/>
        <v>1513,6</v>
      </c>
    </row>
    <row r="95" spans="1:9" ht="73.5" customHeight="1" x14ac:dyDescent="0.3">
      <c r="A95" s="26" t="s">
        <v>225</v>
      </c>
      <c r="B95" s="31" t="s">
        <v>134</v>
      </c>
      <c r="C95" s="33" t="s">
        <v>10</v>
      </c>
      <c r="D95" s="26" t="s">
        <v>133</v>
      </c>
      <c r="E95" s="26" t="s">
        <v>135</v>
      </c>
      <c r="F95" s="26"/>
      <c r="G95" s="27">
        <f>G96</f>
        <v>1338.9</v>
      </c>
      <c r="H95" s="27" t="str">
        <f t="shared" si="40"/>
        <v>1708,8</v>
      </c>
      <c r="I95" s="27" t="str">
        <f t="shared" si="40"/>
        <v>1513,6</v>
      </c>
    </row>
    <row r="96" spans="1:9" ht="37.5" x14ac:dyDescent="0.3">
      <c r="A96" s="26" t="s">
        <v>300</v>
      </c>
      <c r="B96" s="31" t="s">
        <v>45</v>
      </c>
      <c r="C96" s="33" t="s">
        <v>10</v>
      </c>
      <c r="D96" s="26" t="s">
        <v>133</v>
      </c>
      <c r="E96" s="26" t="s">
        <v>135</v>
      </c>
      <c r="F96" s="26" t="s">
        <v>46</v>
      </c>
      <c r="G96" s="187">
        <v>1338.9</v>
      </c>
      <c r="H96" s="23" t="s">
        <v>472</v>
      </c>
      <c r="I96" s="139" t="s">
        <v>473</v>
      </c>
    </row>
    <row r="97" spans="1:11" ht="20.25" x14ac:dyDescent="0.3">
      <c r="A97" s="20" t="s">
        <v>227</v>
      </c>
      <c r="B97" s="58" t="s">
        <v>136</v>
      </c>
      <c r="C97" s="47" t="s">
        <v>10</v>
      </c>
      <c r="D97" s="20" t="s">
        <v>137</v>
      </c>
      <c r="E97" s="20"/>
      <c r="F97" s="20"/>
      <c r="G97" s="22">
        <f>G98+G101</f>
        <v>7113.2</v>
      </c>
      <c r="H97" s="22">
        <f t="shared" ref="H97:I97" si="41">H98+H101</f>
        <v>7467.5999999999995</v>
      </c>
      <c r="I97" s="22">
        <f t="shared" si="41"/>
        <v>7914.9</v>
      </c>
    </row>
    <row r="98" spans="1:11" ht="20.25" x14ac:dyDescent="0.3">
      <c r="A98" s="59" t="s">
        <v>321</v>
      </c>
      <c r="B98" s="31" t="s">
        <v>502</v>
      </c>
      <c r="C98" s="33" t="s">
        <v>10</v>
      </c>
      <c r="D98" s="26" t="s">
        <v>501</v>
      </c>
      <c r="E98" s="26"/>
      <c r="F98" s="26"/>
      <c r="G98" s="27">
        <f>G99</f>
        <v>543.70000000000005</v>
      </c>
      <c r="H98" s="27">
        <f t="shared" ref="H98:I99" si="42">H99</f>
        <v>543.70000000000005</v>
      </c>
      <c r="I98" s="27">
        <f t="shared" si="42"/>
        <v>543.70000000000005</v>
      </c>
    </row>
    <row r="99" spans="1:11" ht="53.25" customHeight="1" x14ac:dyDescent="0.3">
      <c r="A99" s="59" t="s">
        <v>322</v>
      </c>
      <c r="B99" s="31" t="s">
        <v>138</v>
      </c>
      <c r="C99" s="33" t="s">
        <v>10</v>
      </c>
      <c r="D99" s="26" t="s">
        <v>501</v>
      </c>
      <c r="E99" s="26" t="s">
        <v>139</v>
      </c>
      <c r="F99" s="26"/>
      <c r="G99" s="27">
        <f>G100</f>
        <v>543.70000000000005</v>
      </c>
      <c r="H99" s="27">
        <f t="shared" si="42"/>
        <v>543.70000000000005</v>
      </c>
      <c r="I99" s="27">
        <f t="shared" si="42"/>
        <v>543.70000000000005</v>
      </c>
    </row>
    <row r="100" spans="1:11" ht="20.25" x14ac:dyDescent="0.3">
      <c r="A100" s="59" t="s">
        <v>301</v>
      </c>
      <c r="B100" s="31" t="s">
        <v>140</v>
      </c>
      <c r="C100" s="33" t="s">
        <v>10</v>
      </c>
      <c r="D100" s="26" t="s">
        <v>501</v>
      </c>
      <c r="E100" s="26" t="s">
        <v>139</v>
      </c>
      <c r="F100" s="26" t="s">
        <v>141</v>
      </c>
      <c r="G100" s="27">
        <v>543.70000000000005</v>
      </c>
      <c r="H100" s="276">
        <v>543.70000000000005</v>
      </c>
      <c r="I100" s="301">
        <v>543.70000000000005</v>
      </c>
    </row>
    <row r="101" spans="1:11" s="60" customFormat="1" ht="20.25" x14ac:dyDescent="0.3">
      <c r="A101" s="59" t="s">
        <v>323</v>
      </c>
      <c r="B101" s="31" t="s">
        <v>142</v>
      </c>
      <c r="C101" s="33" t="s">
        <v>10</v>
      </c>
      <c r="D101" s="26" t="s">
        <v>143</v>
      </c>
      <c r="E101" s="26"/>
      <c r="F101" s="26"/>
      <c r="G101" s="27">
        <f>G102+G104</f>
        <v>6569.5</v>
      </c>
      <c r="H101" s="27">
        <f t="shared" ref="H101:I101" si="43">H102+H104</f>
        <v>6923.9</v>
      </c>
      <c r="I101" s="27">
        <f t="shared" si="43"/>
        <v>7371.2</v>
      </c>
    </row>
    <row r="102" spans="1:11" ht="74.25" customHeight="1" x14ac:dyDescent="0.3">
      <c r="A102" s="23" t="s">
        <v>232</v>
      </c>
      <c r="B102" s="61" t="s">
        <v>144</v>
      </c>
      <c r="C102" s="26" t="s">
        <v>10</v>
      </c>
      <c r="D102" s="26" t="s">
        <v>143</v>
      </c>
      <c r="E102" s="26" t="s">
        <v>145</v>
      </c>
      <c r="F102" s="23"/>
      <c r="G102" s="24">
        <f>G103</f>
        <v>4276.1000000000004</v>
      </c>
      <c r="H102" s="24">
        <f t="shared" ref="H102:I102" si="44">H103</f>
        <v>4506.8</v>
      </c>
      <c r="I102" s="24">
        <f t="shared" si="44"/>
        <v>4745.8999999999996</v>
      </c>
      <c r="K102" s="291">
        <f>I100+I103</f>
        <v>5289.5999999999995</v>
      </c>
    </row>
    <row r="103" spans="1:11" ht="18.75" x14ac:dyDescent="0.3">
      <c r="A103" s="23" t="s">
        <v>302</v>
      </c>
      <c r="B103" s="29" t="s">
        <v>140</v>
      </c>
      <c r="C103" s="33" t="s">
        <v>10</v>
      </c>
      <c r="D103" s="26" t="s">
        <v>143</v>
      </c>
      <c r="E103" s="26" t="s">
        <v>145</v>
      </c>
      <c r="F103" s="26" t="s">
        <v>141</v>
      </c>
      <c r="G103" s="27">
        <v>4276.1000000000004</v>
      </c>
      <c r="H103" s="278">
        <v>4506.8</v>
      </c>
      <c r="I103" s="278">
        <v>4745.8999999999996</v>
      </c>
    </row>
    <row r="104" spans="1:11" ht="53.45" customHeight="1" x14ac:dyDescent="0.3">
      <c r="A104" s="23" t="s">
        <v>234</v>
      </c>
      <c r="B104" s="31" t="s">
        <v>146</v>
      </c>
      <c r="C104" s="33" t="s">
        <v>10</v>
      </c>
      <c r="D104" s="26" t="s">
        <v>143</v>
      </c>
      <c r="E104" s="26" t="s">
        <v>147</v>
      </c>
      <c r="F104" s="26"/>
      <c r="G104" s="27">
        <f>G105</f>
        <v>2293.4</v>
      </c>
      <c r="H104" s="27">
        <f t="shared" ref="H104:I104" si="45">H105</f>
        <v>2417.1</v>
      </c>
      <c r="I104" s="27">
        <f t="shared" si="45"/>
        <v>2625.3</v>
      </c>
    </row>
    <row r="105" spans="1:11" ht="18.75" x14ac:dyDescent="0.3">
      <c r="A105" s="23" t="s">
        <v>303</v>
      </c>
      <c r="B105" s="29" t="s">
        <v>140</v>
      </c>
      <c r="C105" s="33" t="s">
        <v>10</v>
      </c>
      <c r="D105" s="26" t="s">
        <v>143</v>
      </c>
      <c r="E105" s="26" t="s">
        <v>147</v>
      </c>
      <c r="F105" s="26" t="s">
        <v>141</v>
      </c>
      <c r="G105" s="27">
        <v>2293.4</v>
      </c>
      <c r="H105" s="278">
        <v>2417.1</v>
      </c>
      <c r="I105" s="278">
        <v>2625.3</v>
      </c>
    </row>
    <row r="106" spans="1:11" s="3" customFormat="1" ht="20.25" x14ac:dyDescent="0.3">
      <c r="A106" s="20" t="s">
        <v>235</v>
      </c>
      <c r="B106" s="67" t="s">
        <v>176</v>
      </c>
      <c r="C106" s="52" t="s">
        <v>10</v>
      </c>
      <c r="D106" s="36" t="s">
        <v>172</v>
      </c>
      <c r="E106" s="36"/>
      <c r="F106" s="36"/>
      <c r="G106" s="37">
        <f>G107</f>
        <v>40</v>
      </c>
      <c r="H106" s="37" t="str">
        <f t="shared" ref="H106:I108" si="46">H107</f>
        <v>58,7</v>
      </c>
      <c r="I106" s="37">
        <f t="shared" si="46"/>
        <v>64.900000000000006</v>
      </c>
    </row>
    <row r="107" spans="1:11" s="3" customFormat="1" ht="20.25" x14ac:dyDescent="0.3">
      <c r="A107" s="20" t="s">
        <v>324</v>
      </c>
      <c r="B107" s="67" t="s">
        <v>177</v>
      </c>
      <c r="C107" s="52" t="s">
        <v>10</v>
      </c>
      <c r="D107" s="36" t="s">
        <v>173</v>
      </c>
      <c r="E107" s="36"/>
      <c r="F107" s="36"/>
      <c r="G107" s="37">
        <f>G108</f>
        <v>40</v>
      </c>
      <c r="H107" s="37" t="str">
        <f t="shared" si="46"/>
        <v>58,7</v>
      </c>
      <c r="I107" s="37">
        <f t="shared" si="46"/>
        <v>64.900000000000006</v>
      </c>
    </row>
    <row r="108" spans="1:11" ht="150" x14ac:dyDescent="0.3">
      <c r="A108" s="59" t="s">
        <v>237</v>
      </c>
      <c r="B108" s="68" t="s">
        <v>175</v>
      </c>
      <c r="C108" s="33" t="s">
        <v>10</v>
      </c>
      <c r="D108" s="26" t="s">
        <v>173</v>
      </c>
      <c r="E108" s="26" t="s">
        <v>174</v>
      </c>
      <c r="F108" s="26"/>
      <c r="G108" s="27">
        <f>G109</f>
        <v>40</v>
      </c>
      <c r="H108" s="27" t="str">
        <f t="shared" si="46"/>
        <v>58,7</v>
      </c>
      <c r="I108" s="27">
        <f t="shared" si="46"/>
        <v>64.900000000000006</v>
      </c>
    </row>
    <row r="109" spans="1:11" ht="37.5" x14ac:dyDescent="0.3">
      <c r="A109" s="59" t="s">
        <v>304</v>
      </c>
      <c r="B109" s="31" t="s">
        <v>45</v>
      </c>
      <c r="C109" s="33" t="s">
        <v>10</v>
      </c>
      <c r="D109" s="26" t="s">
        <v>173</v>
      </c>
      <c r="E109" s="26" t="s">
        <v>174</v>
      </c>
      <c r="F109" s="26" t="s">
        <v>46</v>
      </c>
      <c r="G109" s="27">
        <v>40</v>
      </c>
      <c r="H109" s="23" t="s">
        <v>471</v>
      </c>
      <c r="I109" s="276">
        <v>64.900000000000006</v>
      </c>
    </row>
    <row r="110" spans="1:11" ht="81" x14ac:dyDescent="0.3">
      <c r="A110" s="280" t="s">
        <v>148</v>
      </c>
      <c r="B110" s="62" t="s">
        <v>149</v>
      </c>
      <c r="C110" s="20" t="s">
        <v>150</v>
      </c>
      <c r="D110" s="59"/>
      <c r="E110" s="59"/>
      <c r="F110" s="59"/>
      <c r="G110" s="22">
        <f>G111+G129</f>
        <v>11430.2</v>
      </c>
      <c r="H110" s="22">
        <f t="shared" ref="H110:I110" si="47">H111+H129</f>
        <v>11060.000000000002</v>
      </c>
      <c r="I110" s="22">
        <f t="shared" si="47"/>
        <v>11513.600000000002</v>
      </c>
    </row>
    <row r="111" spans="1:11" ht="20.25" x14ac:dyDescent="0.3">
      <c r="A111" s="20" t="s">
        <v>29</v>
      </c>
      <c r="B111" s="21" t="s">
        <v>30</v>
      </c>
      <c r="C111" s="20" t="s">
        <v>150</v>
      </c>
      <c r="D111" s="20" t="s">
        <v>31</v>
      </c>
      <c r="E111" s="20"/>
      <c r="F111" s="20"/>
      <c r="G111" s="22">
        <f>G112+G115+G124</f>
        <v>8870.2000000000007</v>
      </c>
      <c r="H111" s="22">
        <f t="shared" ref="H111:I111" si="48">H112+H115+H124</f>
        <v>8467.1000000000022</v>
      </c>
      <c r="I111" s="22">
        <f t="shared" si="48"/>
        <v>8783.3000000000011</v>
      </c>
    </row>
    <row r="112" spans="1:11" ht="59.25" customHeight="1" x14ac:dyDescent="0.3">
      <c r="A112" s="26" t="s">
        <v>32</v>
      </c>
      <c r="B112" s="28" t="s">
        <v>151</v>
      </c>
      <c r="C112" s="26" t="s">
        <v>150</v>
      </c>
      <c r="D112" s="26" t="s">
        <v>152</v>
      </c>
      <c r="E112" s="26"/>
      <c r="F112" s="26"/>
      <c r="G112" s="24">
        <f>G113</f>
        <v>1117.7</v>
      </c>
      <c r="H112" s="24">
        <f t="shared" ref="H112:I113" si="49">H113</f>
        <v>1015.6</v>
      </c>
      <c r="I112" s="24">
        <f t="shared" si="49"/>
        <v>1046.8</v>
      </c>
    </row>
    <row r="113" spans="1:9" ht="35.25" customHeight="1" x14ac:dyDescent="0.3">
      <c r="A113" s="26" t="s">
        <v>1</v>
      </c>
      <c r="B113" s="25" t="s">
        <v>153</v>
      </c>
      <c r="C113" s="26" t="s">
        <v>150</v>
      </c>
      <c r="D113" s="26" t="s">
        <v>152</v>
      </c>
      <c r="E113" s="26" t="s">
        <v>154</v>
      </c>
      <c r="F113" s="26"/>
      <c r="G113" s="27">
        <f>G114</f>
        <v>1117.7</v>
      </c>
      <c r="H113" s="27">
        <f t="shared" si="49"/>
        <v>1015.6</v>
      </c>
      <c r="I113" s="27">
        <f t="shared" si="49"/>
        <v>1046.8</v>
      </c>
    </row>
    <row r="114" spans="1:9" ht="93.75" x14ac:dyDescent="0.3">
      <c r="A114" s="26" t="s">
        <v>2</v>
      </c>
      <c r="B114" s="32" t="s">
        <v>38</v>
      </c>
      <c r="C114" s="26" t="s">
        <v>150</v>
      </c>
      <c r="D114" s="26" t="s">
        <v>152</v>
      </c>
      <c r="E114" s="26" t="s">
        <v>154</v>
      </c>
      <c r="F114" s="26" t="s">
        <v>39</v>
      </c>
      <c r="G114" s="27">
        <f>780+235.6+78.4+23.7</f>
        <v>1117.7</v>
      </c>
      <c r="H114" s="278">
        <f>780+235.6</f>
        <v>1015.6</v>
      </c>
      <c r="I114" s="278">
        <f>780+266.8</f>
        <v>1046.8</v>
      </c>
    </row>
    <row r="115" spans="1:9" ht="56.25" customHeight="1" x14ac:dyDescent="0.3">
      <c r="A115" s="23" t="s">
        <v>308</v>
      </c>
      <c r="B115" s="30" t="s">
        <v>155</v>
      </c>
      <c r="C115" s="26" t="s">
        <v>150</v>
      </c>
      <c r="D115" s="23" t="s">
        <v>156</v>
      </c>
      <c r="E115" s="23"/>
      <c r="F115" s="23"/>
      <c r="G115" s="24">
        <f>G120+G118+G116</f>
        <v>7642.3</v>
      </c>
      <c r="H115" s="24">
        <f t="shared" ref="H115:I115" si="50">H120+H118+H116</f>
        <v>7339.8000000000011</v>
      </c>
      <c r="I115" s="24">
        <f t="shared" si="50"/>
        <v>7623.4000000000015</v>
      </c>
    </row>
    <row r="116" spans="1:9" ht="34.5" customHeight="1" x14ac:dyDescent="0.3">
      <c r="A116" s="23" t="s">
        <v>43</v>
      </c>
      <c r="B116" s="30" t="s">
        <v>157</v>
      </c>
      <c r="C116" s="26" t="s">
        <v>150</v>
      </c>
      <c r="D116" s="23" t="s">
        <v>156</v>
      </c>
      <c r="E116" s="23" t="s">
        <v>158</v>
      </c>
      <c r="F116" s="23"/>
      <c r="G116" s="24">
        <f>G117</f>
        <v>778.2</v>
      </c>
      <c r="H116" s="24">
        <f t="shared" ref="H116:I116" si="51">H117</f>
        <v>675.40000000000009</v>
      </c>
      <c r="I116" s="24">
        <f t="shared" si="51"/>
        <v>696.1</v>
      </c>
    </row>
    <row r="117" spans="1:9" ht="113.25" customHeight="1" x14ac:dyDescent="0.3">
      <c r="A117" s="23" t="s">
        <v>61</v>
      </c>
      <c r="B117" s="30" t="s">
        <v>159</v>
      </c>
      <c r="C117" s="26" t="s">
        <v>150</v>
      </c>
      <c r="D117" s="23" t="s">
        <v>156</v>
      </c>
      <c r="E117" s="23" t="s">
        <v>158</v>
      </c>
      <c r="F117" s="23" t="s">
        <v>39</v>
      </c>
      <c r="G117" s="243">
        <f>518.7+156.7+78.9+23.9</f>
        <v>778.2</v>
      </c>
      <c r="H117" s="276">
        <f>518.7+156.7</f>
        <v>675.40000000000009</v>
      </c>
      <c r="I117" s="276">
        <f>518.7+177.4</f>
        <v>696.1</v>
      </c>
    </row>
    <row r="118" spans="1:9" ht="37.5" x14ac:dyDescent="0.3">
      <c r="A118" s="23" t="s">
        <v>44</v>
      </c>
      <c r="B118" s="30" t="s">
        <v>160</v>
      </c>
      <c r="C118" s="26" t="s">
        <v>150</v>
      </c>
      <c r="D118" s="23" t="s">
        <v>156</v>
      </c>
      <c r="E118" s="23" t="s">
        <v>161</v>
      </c>
      <c r="F118" s="23"/>
      <c r="G118" s="24">
        <f>G119</f>
        <v>93.6</v>
      </c>
      <c r="H118" s="24">
        <f t="shared" ref="H118:I118" si="52">H119</f>
        <v>93.6</v>
      </c>
      <c r="I118" s="24">
        <f t="shared" si="52"/>
        <v>93.6</v>
      </c>
    </row>
    <row r="119" spans="1:9" ht="93.75" x14ac:dyDescent="0.3">
      <c r="A119" s="23" t="s">
        <v>286</v>
      </c>
      <c r="B119" s="32" t="s">
        <v>38</v>
      </c>
      <c r="C119" s="26" t="s">
        <v>150</v>
      </c>
      <c r="D119" s="23" t="s">
        <v>156</v>
      </c>
      <c r="E119" s="23" t="s">
        <v>161</v>
      </c>
      <c r="F119" s="23" t="s">
        <v>39</v>
      </c>
      <c r="G119" s="243">
        <v>93.6</v>
      </c>
      <c r="H119" s="276">
        <v>93.6</v>
      </c>
      <c r="I119" s="276">
        <v>93.6</v>
      </c>
    </row>
    <row r="120" spans="1:9" ht="36" customHeight="1" x14ac:dyDescent="0.3">
      <c r="A120" s="23" t="s">
        <v>47</v>
      </c>
      <c r="B120" s="30" t="s">
        <v>162</v>
      </c>
      <c r="C120" s="26" t="s">
        <v>150</v>
      </c>
      <c r="D120" s="23" t="s">
        <v>156</v>
      </c>
      <c r="E120" s="23" t="s">
        <v>163</v>
      </c>
      <c r="F120" s="23"/>
      <c r="G120" s="24">
        <f>G121+G122+G123</f>
        <v>6770.5</v>
      </c>
      <c r="H120" s="24">
        <f t="shared" ref="H120:I120" si="53">H121+H122+H123</f>
        <v>6570.8</v>
      </c>
      <c r="I120" s="24">
        <f t="shared" si="53"/>
        <v>6833.7000000000007</v>
      </c>
    </row>
    <row r="121" spans="1:9" ht="93" customHeight="1" x14ac:dyDescent="0.3">
      <c r="A121" s="23" t="s">
        <v>305</v>
      </c>
      <c r="B121" s="32" t="s">
        <v>38</v>
      </c>
      <c r="C121" s="26" t="s">
        <v>150</v>
      </c>
      <c r="D121" s="23" t="s">
        <v>156</v>
      </c>
      <c r="E121" s="23" t="s">
        <v>163</v>
      </c>
      <c r="F121" s="23" t="s">
        <v>39</v>
      </c>
      <c r="G121" s="243">
        <f>2974+898.2+165.8+50.1</f>
        <v>4088.1</v>
      </c>
      <c r="H121" s="243">
        <f>2974+898.2</f>
        <v>3872.2</v>
      </c>
      <c r="I121" s="278">
        <f>2974+1017.1</f>
        <v>3991.1</v>
      </c>
    </row>
    <row r="122" spans="1:9" ht="37.5" x14ac:dyDescent="0.3">
      <c r="A122" s="23" t="s">
        <v>306</v>
      </c>
      <c r="B122" s="31" t="s">
        <v>45</v>
      </c>
      <c r="C122" s="26" t="s">
        <v>150</v>
      </c>
      <c r="D122" s="23" t="s">
        <v>156</v>
      </c>
      <c r="E122" s="23" t="s">
        <v>163</v>
      </c>
      <c r="F122" s="23" t="s">
        <v>46</v>
      </c>
      <c r="G122" s="24">
        <f>7.4+332.6+564.8+775.5+143.7+21.2+589.3+39.8+192</f>
        <v>2666.3</v>
      </c>
      <c r="H122" s="24">
        <f>7.8+350.5+587.9+676.3+262.7+22.3+541+42+192</f>
        <v>2682.5</v>
      </c>
      <c r="I122" s="243">
        <f>2826.5</f>
        <v>2826.5</v>
      </c>
    </row>
    <row r="123" spans="1:9" ht="18.75" x14ac:dyDescent="0.3">
      <c r="A123" s="23" t="s">
        <v>307</v>
      </c>
      <c r="B123" s="29" t="s">
        <v>48</v>
      </c>
      <c r="C123" s="26" t="s">
        <v>150</v>
      </c>
      <c r="D123" s="23" t="s">
        <v>156</v>
      </c>
      <c r="E123" s="23" t="s">
        <v>163</v>
      </c>
      <c r="F123" s="23" t="s">
        <v>49</v>
      </c>
      <c r="G123" s="24">
        <v>16.100000000000001</v>
      </c>
      <c r="H123" s="276">
        <v>16.100000000000001</v>
      </c>
      <c r="I123" s="276">
        <v>16.100000000000001</v>
      </c>
    </row>
    <row r="124" spans="1:9" ht="40.5" x14ac:dyDescent="0.3">
      <c r="A124" s="36" t="s">
        <v>309</v>
      </c>
      <c r="B124" s="38" t="s">
        <v>62</v>
      </c>
      <c r="C124" s="39" t="s">
        <v>150</v>
      </c>
      <c r="D124" s="18" t="s">
        <v>63</v>
      </c>
      <c r="E124" s="18"/>
      <c r="F124" s="18"/>
      <c r="G124" s="122">
        <f>G127+G125</f>
        <v>110.2</v>
      </c>
      <c r="H124" s="122">
        <f t="shared" ref="H124:I124" si="54">H127+H125</f>
        <v>111.7</v>
      </c>
      <c r="I124" s="122">
        <f t="shared" si="54"/>
        <v>113.1</v>
      </c>
    </row>
    <row r="125" spans="1:9" s="14" customFormat="1" ht="20.25" x14ac:dyDescent="0.3">
      <c r="A125" s="26" t="s">
        <v>64</v>
      </c>
      <c r="B125" s="43" t="s">
        <v>273</v>
      </c>
      <c r="C125" s="137" t="s">
        <v>150</v>
      </c>
      <c r="D125" s="138" t="s">
        <v>63</v>
      </c>
      <c r="E125" s="23" t="s">
        <v>274</v>
      </c>
      <c r="F125" s="18"/>
      <c r="G125" s="24">
        <f>G126</f>
        <v>26.2</v>
      </c>
      <c r="H125" s="24">
        <f t="shared" ref="H125:I125" si="55">H126</f>
        <v>27.7</v>
      </c>
      <c r="I125" s="24">
        <f t="shared" si="55"/>
        <v>29.1</v>
      </c>
    </row>
    <row r="126" spans="1:9" s="14" customFormat="1" ht="37.5" x14ac:dyDescent="0.3">
      <c r="A126" s="26" t="s">
        <v>67</v>
      </c>
      <c r="B126" s="31" t="s">
        <v>45</v>
      </c>
      <c r="C126" s="137" t="s">
        <v>150</v>
      </c>
      <c r="D126" s="138" t="s">
        <v>63</v>
      </c>
      <c r="E126" s="23" t="s">
        <v>274</v>
      </c>
      <c r="F126" s="23" t="s">
        <v>46</v>
      </c>
      <c r="G126" s="24">
        <v>26.2</v>
      </c>
      <c r="H126" s="276">
        <v>27.7</v>
      </c>
      <c r="I126" s="276">
        <v>29.1</v>
      </c>
    </row>
    <row r="127" spans="1:9" ht="56.25" x14ac:dyDescent="0.3">
      <c r="A127" s="26" t="s">
        <v>68</v>
      </c>
      <c r="B127" s="63" t="s">
        <v>251</v>
      </c>
      <c r="C127" s="33" t="s">
        <v>150</v>
      </c>
      <c r="D127" s="23" t="s">
        <v>63</v>
      </c>
      <c r="E127" s="23" t="s">
        <v>164</v>
      </c>
      <c r="F127" s="23"/>
      <c r="G127" s="24">
        <f>G128</f>
        <v>84</v>
      </c>
      <c r="H127" s="24">
        <f t="shared" ref="H127:I127" si="56">H128</f>
        <v>84</v>
      </c>
      <c r="I127" s="24">
        <f t="shared" si="56"/>
        <v>84</v>
      </c>
    </row>
    <row r="128" spans="1:9" ht="18.75" x14ac:dyDescent="0.3">
      <c r="A128" s="26" t="s">
        <v>71</v>
      </c>
      <c r="B128" s="29" t="s">
        <v>48</v>
      </c>
      <c r="C128" s="33" t="s">
        <v>150</v>
      </c>
      <c r="D128" s="23" t="s">
        <v>63</v>
      </c>
      <c r="E128" s="23" t="s">
        <v>164</v>
      </c>
      <c r="F128" s="23" t="s">
        <v>49</v>
      </c>
      <c r="G128" s="27">
        <v>84</v>
      </c>
      <c r="H128" s="278">
        <v>84</v>
      </c>
      <c r="I128" s="278">
        <v>84</v>
      </c>
    </row>
    <row r="129" spans="1:18" ht="20.25" x14ac:dyDescent="0.3">
      <c r="A129" s="20" t="s">
        <v>14</v>
      </c>
      <c r="B129" s="55" t="s">
        <v>165</v>
      </c>
      <c r="C129" s="47" t="s">
        <v>150</v>
      </c>
      <c r="D129" s="20" t="s">
        <v>166</v>
      </c>
      <c r="E129" s="51"/>
      <c r="F129" s="20"/>
      <c r="G129" s="37">
        <f>G130</f>
        <v>2560</v>
      </c>
      <c r="H129" s="37" t="str">
        <f t="shared" ref="H129:I130" si="57">H130</f>
        <v>2592,9</v>
      </c>
      <c r="I129" s="37">
        <f t="shared" si="57"/>
        <v>2730.3</v>
      </c>
    </row>
    <row r="130" spans="1:18" ht="20.25" customHeight="1" x14ac:dyDescent="0.3">
      <c r="A130" s="26" t="s">
        <v>310</v>
      </c>
      <c r="B130" s="64" t="s">
        <v>167</v>
      </c>
      <c r="C130" s="52" t="s">
        <v>150</v>
      </c>
      <c r="D130" s="36" t="s">
        <v>168</v>
      </c>
      <c r="E130" s="36"/>
      <c r="F130" s="36"/>
      <c r="G130" s="37">
        <f>G131</f>
        <v>2560</v>
      </c>
      <c r="H130" s="37" t="str">
        <f t="shared" si="57"/>
        <v>2592,9</v>
      </c>
      <c r="I130" s="37">
        <f t="shared" si="57"/>
        <v>2730.3</v>
      </c>
    </row>
    <row r="131" spans="1:18" ht="189.75" customHeight="1" x14ac:dyDescent="0.3">
      <c r="A131" s="26" t="s">
        <v>15</v>
      </c>
      <c r="B131" s="32" t="s">
        <v>169</v>
      </c>
      <c r="C131" s="33" t="s">
        <v>150</v>
      </c>
      <c r="D131" s="26" t="s">
        <v>168</v>
      </c>
      <c r="E131" s="26" t="s">
        <v>170</v>
      </c>
      <c r="F131" s="26"/>
      <c r="G131" s="27">
        <f>G132</f>
        <v>2560</v>
      </c>
      <c r="H131" s="27" t="str">
        <f>H132</f>
        <v>2592,9</v>
      </c>
      <c r="I131" s="27">
        <f>I132</f>
        <v>2730.3</v>
      </c>
    </row>
    <row r="132" spans="1:18" ht="35.25" customHeight="1" x14ac:dyDescent="0.3">
      <c r="A132" s="26" t="s">
        <v>13</v>
      </c>
      <c r="B132" s="31" t="s">
        <v>45</v>
      </c>
      <c r="C132" s="33" t="s">
        <v>150</v>
      </c>
      <c r="D132" s="26" t="s">
        <v>168</v>
      </c>
      <c r="E132" s="26" t="s">
        <v>170</v>
      </c>
      <c r="F132" s="26" t="s">
        <v>46</v>
      </c>
      <c r="G132" s="27">
        <f>2460+100</f>
        <v>2560</v>
      </c>
      <c r="H132" s="24" t="s">
        <v>470</v>
      </c>
      <c r="I132" s="278">
        <v>2730.3</v>
      </c>
    </row>
    <row r="133" spans="1:18" ht="40.5" customHeight="1" x14ac:dyDescent="0.3">
      <c r="A133" s="20" t="s">
        <v>505</v>
      </c>
      <c r="B133" s="293" t="s">
        <v>506</v>
      </c>
      <c r="C133" s="47" t="s">
        <v>507</v>
      </c>
      <c r="D133" s="20"/>
      <c r="E133" s="51"/>
      <c r="F133" s="20"/>
      <c r="G133" s="22">
        <f t="shared" ref="G133:I134" si="58">G134</f>
        <v>0</v>
      </c>
      <c r="H133" s="22">
        <f t="shared" si="58"/>
        <v>2469.9</v>
      </c>
      <c r="I133" s="22">
        <f t="shared" si="58"/>
        <v>0</v>
      </c>
    </row>
    <row r="134" spans="1:18" ht="19.5" customHeight="1" x14ac:dyDescent="0.3">
      <c r="A134" s="20" t="s">
        <v>508</v>
      </c>
      <c r="B134" s="55" t="s">
        <v>30</v>
      </c>
      <c r="C134" s="47" t="s">
        <v>507</v>
      </c>
      <c r="D134" s="20" t="s">
        <v>31</v>
      </c>
      <c r="E134" s="51"/>
      <c r="F134" s="20"/>
      <c r="G134" s="22">
        <f t="shared" si="58"/>
        <v>0</v>
      </c>
      <c r="H134" s="22">
        <f t="shared" si="58"/>
        <v>2469.9</v>
      </c>
      <c r="I134" s="22">
        <f t="shared" si="58"/>
        <v>0</v>
      </c>
    </row>
    <row r="135" spans="1:18" ht="36" customHeight="1" x14ac:dyDescent="0.3">
      <c r="A135" s="26" t="s">
        <v>312</v>
      </c>
      <c r="B135" s="292" t="s">
        <v>509</v>
      </c>
      <c r="C135" s="33" t="s">
        <v>507</v>
      </c>
      <c r="D135" s="26" t="s">
        <v>510</v>
      </c>
      <c r="E135" s="44"/>
      <c r="F135" s="26"/>
      <c r="G135" s="27">
        <f>G136+G138</f>
        <v>0</v>
      </c>
      <c r="H135" s="27">
        <f>H136+H138</f>
        <v>2469.9</v>
      </c>
      <c r="I135" s="27">
        <f>I136+I138</f>
        <v>0</v>
      </c>
    </row>
    <row r="136" spans="1:18" ht="35.25" customHeight="1" x14ac:dyDescent="0.3">
      <c r="A136" s="26" t="s">
        <v>287</v>
      </c>
      <c r="B136" s="292" t="s">
        <v>511</v>
      </c>
      <c r="C136" s="33" t="s">
        <v>507</v>
      </c>
      <c r="D136" s="26" t="s">
        <v>510</v>
      </c>
      <c r="E136" s="44" t="s">
        <v>512</v>
      </c>
      <c r="F136" s="26"/>
      <c r="G136" s="27">
        <f>G137</f>
        <v>0</v>
      </c>
      <c r="H136" s="27">
        <f>H137</f>
        <v>1995.7</v>
      </c>
      <c r="I136" s="27">
        <f>I137</f>
        <v>0</v>
      </c>
    </row>
    <row r="137" spans="1:18" ht="95.25" customHeight="1" x14ac:dyDescent="0.3">
      <c r="A137" s="26" t="s">
        <v>513</v>
      </c>
      <c r="B137" s="32" t="s">
        <v>38</v>
      </c>
      <c r="C137" s="33" t="s">
        <v>507</v>
      </c>
      <c r="D137" s="26" t="s">
        <v>510</v>
      </c>
      <c r="E137" s="44" t="s">
        <v>512</v>
      </c>
      <c r="F137" s="26" t="s">
        <v>39</v>
      </c>
      <c r="G137" s="27">
        <v>0</v>
      </c>
      <c r="H137" s="27">
        <f>959.8+1035.9</f>
        <v>1995.7</v>
      </c>
      <c r="I137" s="27">
        <v>0</v>
      </c>
    </row>
    <row r="138" spans="1:18" ht="35.25" customHeight="1" x14ac:dyDescent="0.3">
      <c r="A138" s="26" t="s">
        <v>521</v>
      </c>
      <c r="B138" s="32" t="s">
        <v>520</v>
      </c>
      <c r="C138" s="33" t="s">
        <v>507</v>
      </c>
      <c r="D138" s="26" t="s">
        <v>510</v>
      </c>
      <c r="E138" s="44" t="s">
        <v>519</v>
      </c>
      <c r="F138" s="26"/>
      <c r="G138" s="27">
        <f>G139+G140</f>
        <v>0</v>
      </c>
      <c r="H138" s="27">
        <f t="shared" ref="H138:I138" si="59">H139+H140</f>
        <v>474.2</v>
      </c>
      <c r="I138" s="27">
        <f t="shared" si="59"/>
        <v>0</v>
      </c>
    </row>
    <row r="139" spans="1:18" ht="35.25" customHeight="1" x14ac:dyDescent="0.3">
      <c r="A139" s="26" t="s">
        <v>522</v>
      </c>
      <c r="B139" s="31" t="s">
        <v>45</v>
      </c>
      <c r="C139" s="33" t="s">
        <v>507</v>
      </c>
      <c r="D139" s="26" t="s">
        <v>510</v>
      </c>
      <c r="E139" s="44" t="s">
        <v>519</v>
      </c>
      <c r="F139" s="26" t="s">
        <v>46</v>
      </c>
      <c r="G139" s="27">
        <v>0</v>
      </c>
      <c r="H139" s="27">
        <v>470.2</v>
      </c>
      <c r="I139" s="27">
        <v>0</v>
      </c>
    </row>
    <row r="140" spans="1:18" ht="22.5" customHeight="1" x14ac:dyDescent="0.3">
      <c r="A140" s="26" t="s">
        <v>523</v>
      </c>
      <c r="B140" s="30" t="s">
        <v>48</v>
      </c>
      <c r="C140" s="33" t="s">
        <v>507</v>
      </c>
      <c r="D140" s="26" t="s">
        <v>510</v>
      </c>
      <c r="E140" s="44" t="s">
        <v>519</v>
      </c>
      <c r="F140" s="23" t="s">
        <v>49</v>
      </c>
      <c r="G140" s="27">
        <v>0</v>
      </c>
      <c r="H140" s="24">
        <v>4</v>
      </c>
      <c r="I140" s="27">
        <v>0</v>
      </c>
    </row>
    <row r="141" spans="1:18" s="65" customFormat="1" ht="18.75" x14ac:dyDescent="0.3">
      <c r="A141" s="244"/>
      <c r="B141" s="245" t="s">
        <v>171</v>
      </c>
      <c r="C141" s="246"/>
      <c r="D141" s="247"/>
      <c r="E141" s="247"/>
      <c r="F141" s="247"/>
      <c r="G141" s="302">
        <f>G110+G11</f>
        <v>74501</v>
      </c>
      <c r="H141" s="302">
        <f>H110+H11+H133</f>
        <v>74241.2</v>
      </c>
      <c r="I141" s="302">
        <f>I110+I11</f>
        <v>80153.8</v>
      </c>
      <c r="J141" s="186"/>
      <c r="K141" s="186">
        <f>G141-Доходы!E60</f>
        <v>4897.6000000000058</v>
      </c>
      <c r="L141" s="186">
        <f>H141-Доходы!F60</f>
        <v>0</v>
      </c>
      <c r="M141" s="186">
        <f>I141-Доходы!G60</f>
        <v>0</v>
      </c>
      <c r="N141" s="186">
        <f>J141-Доходы!H60</f>
        <v>0</v>
      </c>
    </row>
    <row r="142" spans="1:18" x14ac:dyDescent="0.25">
      <c r="R142" s="184">
        <f>L141-3775.9</f>
        <v>-3775.9</v>
      </c>
    </row>
    <row r="143" spans="1:18" x14ac:dyDescent="0.25">
      <c r="R143" s="184">
        <f>R142+H147</f>
        <v>-2153.3575000000005</v>
      </c>
    </row>
    <row r="144" spans="1:18" x14ac:dyDescent="0.25">
      <c r="G144" s="249"/>
    </row>
    <row r="145" spans="7:11" x14ac:dyDescent="0.25">
      <c r="G145" s="249"/>
      <c r="K145">
        <v>1111.7</v>
      </c>
    </row>
    <row r="146" spans="7:11" x14ac:dyDescent="0.25">
      <c r="H146" s="303">
        <f>H141-H105-H103-H22-H20</f>
        <v>64901.699999999983</v>
      </c>
      <c r="I146" s="303">
        <f>I141-I105-I103-I22-I20</f>
        <v>70288.200000000012</v>
      </c>
      <c r="K146">
        <v>5136</v>
      </c>
    </row>
    <row r="147" spans="7:11" x14ac:dyDescent="0.25">
      <c r="G147" s="248" t="s">
        <v>504</v>
      </c>
      <c r="H147" s="294">
        <f>H146*0.025</f>
        <v>1622.5424999999996</v>
      </c>
      <c r="I147" s="295">
        <f>I146*0.05</f>
        <v>3514.4100000000008</v>
      </c>
      <c r="K147">
        <f>K146+K145</f>
        <v>6247.7</v>
      </c>
    </row>
    <row r="148" spans="7:11" x14ac:dyDescent="0.25">
      <c r="G148" s="249"/>
      <c r="K148" s="184">
        <f>K147-K141-L141</f>
        <v>1350.099999999994</v>
      </c>
    </row>
  </sheetData>
  <autoFilter ref="A8:G141"/>
  <mergeCells count="9">
    <mergeCell ref="H8:I8"/>
    <mergeCell ref="A6:I6"/>
    <mergeCell ref="A8:A9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9" scale="47" orientation="portrait" r:id="rId1"/>
  <rowBreaks count="4" manualBreakCount="4">
    <brk id="32" max="8" man="1"/>
    <brk id="58" max="8" man="1"/>
    <brk id="87" max="8" man="1"/>
    <brk id="114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T152"/>
  <sheetViews>
    <sheetView view="pageBreakPreview" topLeftCell="A118" zoomScale="80" zoomScaleNormal="70" zoomScaleSheetLayoutView="80" workbookViewId="0">
      <selection activeCell="A6" sqref="A6"/>
    </sheetView>
  </sheetViews>
  <sheetFormatPr defaultColWidth="9.140625" defaultRowHeight="12.75" x14ac:dyDescent="0.2"/>
  <cols>
    <col min="1" max="1" width="13" style="260" customWidth="1"/>
    <col min="2" max="2" width="71.42578125" style="232" customWidth="1"/>
    <col min="3" max="3" width="15" style="230" customWidth="1"/>
    <col min="4" max="4" width="17.85546875" style="259" customWidth="1"/>
    <col min="5" max="5" width="15.140625" style="230" customWidth="1"/>
    <col min="6" max="6" width="18.42578125" style="233" customWidth="1"/>
    <col min="7" max="7" width="13.42578125" style="233" customWidth="1"/>
    <col min="8" max="8" width="12.42578125" style="233" bestFit="1" customWidth="1"/>
    <col min="9" max="15" width="9.140625" style="1" customWidth="1"/>
    <col min="16" max="251" width="9.140625" style="1"/>
    <col min="252" max="252" width="13" style="1" customWidth="1"/>
    <col min="253" max="253" width="71.42578125" style="1" customWidth="1"/>
    <col min="254" max="254" width="12.85546875" style="1" customWidth="1"/>
    <col min="255" max="255" width="17.85546875" style="1" customWidth="1"/>
    <col min="256" max="256" width="15.140625" style="1" customWidth="1"/>
    <col min="257" max="257" width="0" style="1" hidden="1" customWidth="1"/>
    <col min="258" max="258" width="18.42578125" style="1" customWidth="1"/>
    <col min="259" max="262" width="0" style="1" hidden="1" customWidth="1"/>
    <col min="263" max="263" width="13.42578125" style="1" customWidth="1"/>
    <col min="264" max="264" width="12.42578125" style="1" bestFit="1" customWidth="1"/>
    <col min="265" max="271" width="0" style="1" hidden="1" customWidth="1"/>
    <col min="272" max="507" width="9.140625" style="1"/>
    <col min="508" max="508" width="13" style="1" customWidth="1"/>
    <col min="509" max="509" width="71.42578125" style="1" customWidth="1"/>
    <col min="510" max="510" width="12.85546875" style="1" customWidth="1"/>
    <col min="511" max="511" width="17.85546875" style="1" customWidth="1"/>
    <col min="512" max="512" width="15.140625" style="1" customWidth="1"/>
    <col min="513" max="513" width="0" style="1" hidden="1" customWidth="1"/>
    <col min="514" max="514" width="18.42578125" style="1" customWidth="1"/>
    <col min="515" max="518" width="0" style="1" hidden="1" customWidth="1"/>
    <col min="519" max="519" width="13.42578125" style="1" customWidth="1"/>
    <col min="520" max="520" width="12.42578125" style="1" bestFit="1" customWidth="1"/>
    <col min="521" max="527" width="0" style="1" hidden="1" customWidth="1"/>
    <col min="528" max="763" width="9.140625" style="1"/>
    <col min="764" max="764" width="13" style="1" customWidth="1"/>
    <col min="765" max="765" width="71.42578125" style="1" customWidth="1"/>
    <col min="766" max="766" width="12.85546875" style="1" customWidth="1"/>
    <col min="767" max="767" width="17.85546875" style="1" customWidth="1"/>
    <col min="768" max="768" width="15.140625" style="1" customWidth="1"/>
    <col min="769" max="769" width="0" style="1" hidden="1" customWidth="1"/>
    <col min="770" max="770" width="18.42578125" style="1" customWidth="1"/>
    <col min="771" max="774" width="0" style="1" hidden="1" customWidth="1"/>
    <col min="775" max="775" width="13.42578125" style="1" customWidth="1"/>
    <col min="776" max="776" width="12.42578125" style="1" bestFit="1" customWidth="1"/>
    <col min="777" max="783" width="0" style="1" hidden="1" customWidth="1"/>
    <col min="784" max="1019" width="9.140625" style="1"/>
    <col min="1020" max="1020" width="13" style="1" customWidth="1"/>
    <col min="1021" max="1021" width="71.42578125" style="1" customWidth="1"/>
    <col min="1022" max="1022" width="12.85546875" style="1" customWidth="1"/>
    <col min="1023" max="1023" width="17.85546875" style="1" customWidth="1"/>
    <col min="1024" max="1024" width="15.140625" style="1" customWidth="1"/>
    <col min="1025" max="1025" width="0" style="1" hidden="1" customWidth="1"/>
    <col min="1026" max="1026" width="18.42578125" style="1" customWidth="1"/>
    <col min="1027" max="1030" width="0" style="1" hidden="1" customWidth="1"/>
    <col min="1031" max="1031" width="13.42578125" style="1" customWidth="1"/>
    <col min="1032" max="1032" width="12.42578125" style="1" bestFit="1" customWidth="1"/>
    <col min="1033" max="1039" width="0" style="1" hidden="1" customWidth="1"/>
    <col min="1040" max="1275" width="9.140625" style="1"/>
    <col min="1276" max="1276" width="13" style="1" customWidth="1"/>
    <col min="1277" max="1277" width="71.42578125" style="1" customWidth="1"/>
    <col min="1278" max="1278" width="12.85546875" style="1" customWidth="1"/>
    <col min="1279" max="1279" width="17.85546875" style="1" customWidth="1"/>
    <col min="1280" max="1280" width="15.140625" style="1" customWidth="1"/>
    <col min="1281" max="1281" width="0" style="1" hidden="1" customWidth="1"/>
    <col min="1282" max="1282" width="18.42578125" style="1" customWidth="1"/>
    <col min="1283" max="1286" width="0" style="1" hidden="1" customWidth="1"/>
    <col min="1287" max="1287" width="13.42578125" style="1" customWidth="1"/>
    <col min="1288" max="1288" width="12.42578125" style="1" bestFit="1" customWidth="1"/>
    <col min="1289" max="1295" width="0" style="1" hidden="1" customWidth="1"/>
    <col min="1296" max="1531" width="9.140625" style="1"/>
    <col min="1532" max="1532" width="13" style="1" customWidth="1"/>
    <col min="1533" max="1533" width="71.42578125" style="1" customWidth="1"/>
    <col min="1534" max="1534" width="12.85546875" style="1" customWidth="1"/>
    <col min="1535" max="1535" width="17.85546875" style="1" customWidth="1"/>
    <col min="1536" max="1536" width="15.140625" style="1" customWidth="1"/>
    <col min="1537" max="1537" width="0" style="1" hidden="1" customWidth="1"/>
    <col min="1538" max="1538" width="18.42578125" style="1" customWidth="1"/>
    <col min="1539" max="1542" width="0" style="1" hidden="1" customWidth="1"/>
    <col min="1543" max="1543" width="13.42578125" style="1" customWidth="1"/>
    <col min="1544" max="1544" width="12.42578125" style="1" bestFit="1" customWidth="1"/>
    <col min="1545" max="1551" width="0" style="1" hidden="1" customWidth="1"/>
    <col min="1552" max="1787" width="9.140625" style="1"/>
    <col min="1788" max="1788" width="13" style="1" customWidth="1"/>
    <col min="1789" max="1789" width="71.42578125" style="1" customWidth="1"/>
    <col min="1790" max="1790" width="12.85546875" style="1" customWidth="1"/>
    <col min="1791" max="1791" width="17.85546875" style="1" customWidth="1"/>
    <col min="1792" max="1792" width="15.140625" style="1" customWidth="1"/>
    <col min="1793" max="1793" width="0" style="1" hidden="1" customWidth="1"/>
    <col min="1794" max="1794" width="18.42578125" style="1" customWidth="1"/>
    <col min="1795" max="1798" width="0" style="1" hidden="1" customWidth="1"/>
    <col min="1799" max="1799" width="13.42578125" style="1" customWidth="1"/>
    <col min="1800" max="1800" width="12.42578125" style="1" bestFit="1" customWidth="1"/>
    <col min="1801" max="1807" width="0" style="1" hidden="1" customWidth="1"/>
    <col min="1808" max="2043" width="9.140625" style="1"/>
    <col min="2044" max="2044" width="13" style="1" customWidth="1"/>
    <col min="2045" max="2045" width="71.42578125" style="1" customWidth="1"/>
    <col min="2046" max="2046" width="12.85546875" style="1" customWidth="1"/>
    <col min="2047" max="2047" width="17.85546875" style="1" customWidth="1"/>
    <col min="2048" max="2048" width="15.140625" style="1" customWidth="1"/>
    <col min="2049" max="2049" width="0" style="1" hidden="1" customWidth="1"/>
    <col min="2050" max="2050" width="18.42578125" style="1" customWidth="1"/>
    <col min="2051" max="2054" width="0" style="1" hidden="1" customWidth="1"/>
    <col min="2055" max="2055" width="13.42578125" style="1" customWidth="1"/>
    <col min="2056" max="2056" width="12.42578125" style="1" bestFit="1" customWidth="1"/>
    <col min="2057" max="2063" width="0" style="1" hidden="1" customWidth="1"/>
    <col min="2064" max="2299" width="9.140625" style="1"/>
    <col min="2300" max="2300" width="13" style="1" customWidth="1"/>
    <col min="2301" max="2301" width="71.42578125" style="1" customWidth="1"/>
    <col min="2302" max="2302" width="12.85546875" style="1" customWidth="1"/>
    <col min="2303" max="2303" width="17.85546875" style="1" customWidth="1"/>
    <col min="2304" max="2304" width="15.140625" style="1" customWidth="1"/>
    <col min="2305" max="2305" width="0" style="1" hidden="1" customWidth="1"/>
    <col min="2306" max="2306" width="18.42578125" style="1" customWidth="1"/>
    <col min="2307" max="2310" width="0" style="1" hidden="1" customWidth="1"/>
    <col min="2311" max="2311" width="13.42578125" style="1" customWidth="1"/>
    <col min="2312" max="2312" width="12.42578125" style="1" bestFit="1" customWidth="1"/>
    <col min="2313" max="2319" width="0" style="1" hidden="1" customWidth="1"/>
    <col min="2320" max="2555" width="9.140625" style="1"/>
    <col min="2556" max="2556" width="13" style="1" customWidth="1"/>
    <col min="2557" max="2557" width="71.42578125" style="1" customWidth="1"/>
    <col min="2558" max="2558" width="12.85546875" style="1" customWidth="1"/>
    <col min="2559" max="2559" width="17.85546875" style="1" customWidth="1"/>
    <col min="2560" max="2560" width="15.140625" style="1" customWidth="1"/>
    <col min="2561" max="2561" width="0" style="1" hidden="1" customWidth="1"/>
    <col min="2562" max="2562" width="18.42578125" style="1" customWidth="1"/>
    <col min="2563" max="2566" width="0" style="1" hidden="1" customWidth="1"/>
    <col min="2567" max="2567" width="13.42578125" style="1" customWidth="1"/>
    <col min="2568" max="2568" width="12.42578125" style="1" bestFit="1" customWidth="1"/>
    <col min="2569" max="2575" width="0" style="1" hidden="1" customWidth="1"/>
    <col min="2576" max="2811" width="9.140625" style="1"/>
    <col min="2812" max="2812" width="13" style="1" customWidth="1"/>
    <col min="2813" max="2813" width="71.42578125" style="1" customWidth="1"/>
    <col min="2814" max="2814" width="12.85546875" style="1" customWidth="1"/>
    <col min="2815" max="2815" width="17.85546875" style="1" customWidth="1"/>
    <col min="2816" max="2816" width="15.140625" style="1" customWidth="1"/>
    <col min="2817" max="2817" width="0" style="1" hidden="1" customWidth="1"/>
    <col min="2818" max="2818" width="18.42578125" style="1" customWidth="1"/>
    <col min="2819" max="2822" width="0" style="1" hidden="1" customWidth="1"/>
    <col min="2823" max="2823" width="13.42578125" style="1" customWidth="1"/>
    <col min="2824" max="2824" width="12.42578125" style="1" bestFit="1" customWidth="1"/>
    <col min="2825" max="2831" width="0" style="1" hidden="1" customWidth="1"/>
    <col min="2832" max="3067" width="9.140625" style="1"/>
    <col min="3068" max="3068" width="13" style="1" customWidth="1"/>
    <col min="3069" max="3069" width="71.42578125" style="1" customWidth="1"/>
    <col min="3070" max="3070" width="12.85546875" style="1" customWidth="1"/>
    <col min="3071" max="3071" width="17.85546875" style="1" customWidth="1"/>
    <col min="3072" max="3072" width="15.140625" style="1" customWidth="1"/>
    <col min="3073" max="3073" width="0" style="1" hidden="1" customWidth="1"/>
    <col min="3074" max="3074" width="18.42578125" style="1" customWidth="1"/>
    <col min="3075" max="3078" width="0" style="1" hidden="1" customWidth="1"/>
    <col min="3079" max="3079" width="13.42578125" style="1" customWidth="1"/>
    <col min="3080" max="3080" width="12.42578125" style="1" bestFit="1" customWidth="1"/>
    <col min="3081" max="3087" width="0" style="1" hidden="1" customWidth="1"/>
    <col min="3088" max="3323" width="9.140625" style="1"/>
    <col min="3324" max="3324" width="13" style="1" customWidth="1"/>
    <col min="3325" max="3325" width="71.42578125" style="1" customWidth="1"/>
    <col min="3326" max="3326" width="12.85546875" style="1" customWidth="1"/>
    <col min="3327" max="3327" width="17.85546875" style="1" customWidth="1"/>
    <col min="3328" max="3328" width="15.140625" style="1" customWidth="1"/>
    <col min="3329" max="3329" width="0" style="1" hidden="1" customWidth="1"/>
    <col min="3330" max="3330" width="18.42578125" style="1" customWidth="1"/>
    <col min="3331" max="3334" width="0" style="1" hidden="1" customWidth="1"/>
    <col min="3335" max="3335" width="13.42578125" style="1" customWidth="1"/>
    <col min="3336" max="3336" width="12.42578125" style="1" bestFit="1" customWidth="1"/>
    <col min="3337" max="3343" width="0" style="1" hidden="1" customWidth="1"/>
    <col min="3344" max="3579" width="9.140625" style="1"/>
    <col min="3580" max="3580" width="13" style="1" customWidth="1"/>
    <col min="3581" max="3581" width="71.42578125" style="1" customWidth="1"/>
    <col min="3582" max="3582" width="12.85546875" style="1" customWidth="1"/>
    <col min="3583" max="3583" width="17.85546875" style="1" customWidth="1"/>
    <col min="3584" max="3584" width="15.140625" style="1" customWidth="1"/>
    <col min="3585" max="3585" width="0" style="1" hidden="1" customWidth="1"/>
    <col min="3586" max="3586" width="18.42578125" style="1" customWidth="1"/>
    <col min="3587" max="3590" width="0" style="1" hidden="1" customWidth="1"/>
    <col min="3591" max="3591" width="13.42578125" style="1" customWidth="1"/>
    <col min="3592" max="3592" width="12.42578125" style="1" bestFit="1" customWidth="1"/>
    <col min="3593" max="3599" width="0" style="1" hidden="1" customWidth="1"/>
    <col min="3600" max="3835" width="9.140625" style="1"/>
    <col min="3836" max="3836" width="13" style="1" customWidth="1"/>
    <col min="3837" max="3837" width="71.42578125" style="1" customWidth="1"/>
    <col min="3838" max="3838" width="12.85546875" style="1" customWidth="1"/>
    <col min="3839" max="3839" width="17.85546875" style="1" customWidth="1"/>
    <col min="3840" max="3840" width="15.140625" style="1" customWidth="1"/>
    <col min="3841" max="3841" width="0" style="1" hidden="1" customWidth="1"/>
    <col min="3842" max="3842" width="18.42578125" style="1" customWidth="1"/>
    <col min="3843" max="3846" width="0" style="1" hidden="1" customWidth="1"/>
    <col min="3847" max="3847" width="13.42578125" style="1" customWidth="1"/>
    <col min="3848" max="3848" width="12.42578125" style="1" bestFit="1" customWidth="1"/>
    <col min="3849" max="3855" width="0" style="1" hidden="1" customWidth="1"/>
    <col min="3856" max="4091" width="9.140625" style="1"/>
    <col min="4092" max="4092" width="13" style="1" customWidth="1"/>
    <col min="4093" max="4093" width="71.42578125" style="1" customWidth="1"/>
    <col min="4094" max="4094" width="12.85546875" style="1" customWidth="1"/>
    <col min="4095" max="4095" width="17.85546875" style="1" customWidth="1"/>
    <col min="4096" max="4096" width="15.140625" style="1" customWidth="1"/>
    <col min="4097" max="4097" width="0" style="1" hidden="1" customWidth="1"/>
    <col min="4098" max="4098" width="18.42578125" style="1" customWidth="1"/>
    <col min="4099" max="4102" width="0" style="1" hidden="1" customWidth="1"/>
    <col min="4103" max="4103" width="13.42578125" style="1" customWidth="1"/>
    <col min="4104" max="4104" width="12.42578125" style="1" bestFit="1" customWidth="1"/>
    <col min="4105" max="4111" width="0" style="1" hidden="1" customWidth="1"/>
    <col min="4112" max="4347" width="9.140625" style="1"/>
    <col min="4348" max="4348" width="13" style="1" customWidth="1"/>
    <col min="4349" max="4349" width="71.42578125" style="1" customWidth="1"/>
    <col min="4350" max="4350" width="12.85546875" style="1" customWidth="1"/>
    <col min="4351" max="4351" width="17.85546875" style="1" customWidth="1"/>
    <col min="4352" max="4352" width="15.140625" style="1" customWidth="1"/>
    <col min="4353" max="4353" width="0" style="1" hidden="1" customWidth="1"/>
    <col min="4354" max="4354" width="18.42578125" style="1" customWidth="1"/>
    <col min="4355" max="4358" width="0" style="1" hidden="1" customWidth="1"/>
    <col min="4359" max="4359" width="13.42578125" style="1" customWidth="1"/>
    <col min="4360" max="4360" width="12.42578125" style="1" bestFit="1" customWidth="1"/>
    <col min="4361" max="4367" width="0" style="1" hidden="1" customWidth="1"/>
    <col min="4368" max="4603" width="9.140625" style="1"/>
    <col min="4604" max="4604" width="13" style="1" customWidth="1"/>
    <col min="4605" max="4605" width="71.42578125" style="1" customWidth="1"/>
    <col min="4606" max="4606" width="12.85546875" style="1" customWidth="1"/>
    <col min="4607" max="4607" width="17.85546875" style="1" customWidth="1"/>
    <col min="4608" max="4608" width="15.140625" style="1" customWidth="1"/>
    <col min="4609" max="4609" width="0" style="1" hidden="1" customWidth="1"/>
    <col min="4610" max="4610" width="18.42578125" style="1" customWidth="1"/>
    <col min="4611" max="4614" width="0" style="1" hidden="1" customWidth="1"/>
    <col min="4615" max="4615" width="13.42578125" style="1" customWidth="1"/>
    <col min="4616" max="4616" width="12.42578125" style="1" bestFit="1" customWidth="1"/>
    <col min="4617" max="4623" width="0" style="1" hidden="1" customWidth="1"/>
    <col min="4624" max="4859" width="9.140625" style="1"/>
    <col min="4860" max="4860" width="13" style="1" customWidth="1"/>
    <col min="4861" max="4861" width="71.42578125" style="1" customWidth="1"/>
    <col min="4862" max="4862" width="12.85546875" style="1" customWidth="1"/>
    <col min="4863" max="4863" width="17.85546875" style="1" customWidth="1"/>
    <col min="4864" max="4864" width="15.140625" style="1" customWidth="1"/>
    <col min="4865" max="4865" width="0" style="1" hidden="1" customWidth="1"/>
    <col min="4866" max="4866" width="18.42578125" style="1" customWidth="1"/>
    <col min="4867" max="4870" width="0" style="1" hidden="1" customWidth="1"/>
    <col min="4871" max="4871" width="13.42578125" style="1" customWidth="1"/>
    <col min="4872" max="4872" width="12.42578125" style="1" bestFit="1" customWidth="1"/>
    <col min="4873" max="4879" width="0" style="1" hidden="1" customWidth="1"/>
    <col min="4880" max="5115" width="9.140625" style="1"/>
    <col min="5116" max="5116" width="13" style="1" customWidth="1"/>
    <col min="5117" max="5117" width="71.42578125" style="1" customWidth="1"/>
    <col min="5118" max="5118" width="12.85546875" style="1" customWidth="1"/>
    <col min="5119" max="5119" width="17.85546875" style="1" customWidth="1"/>
    <col min="5120" max="5120" width="15.140625" style="1" customWidth="1"/>
    <col min="5121" max="5121" width="0" style="1" hidden="1" customWidth="1"/>
    <col min="5122" max="5122" width="18.42578125" style="1" customWidth="1"/>
    <col min="5123" max="5126" width="0" style="1" hidden="1" customWidth="1"/>
    <col min="5127" max="5127" width="13.42578125" style="1" customWidth="1"/>
    <col min="5128" max="5128" width="12.42578125" style="1" bestFit="1" customWidth="1"/>
    <col min="5129" max="5135" width="0" style="1" hidden="1" customWidth="1"/>
    <col min="5136" max="5371" width="9.140625" style="1"/>
    <col min="5372" max="5372" width="13" style="1" customWidth="1"/>
    <col min="5373" max="5373" width="71.42578125" style="1" customWidth="1"/>
    <col min="5374" max="5374" width="12.85546875" style="1" customWidth="1"/>
    <col min="5375" max="5375" width="17.85546875" style="1" customWidth="1"/>
    <col min="5376" max="5376" width="15.140625" style="1" customWidth="1"/>
    <col min="5377" max="5377" width="0" style="1" hidden="1" customWidth="1"/>
    <col min="5378" max="5378" width="18.42578125" style="1" customWidth="1"/>
    <col min="5379" max="5382" width="0" style="1" hidden="1" customWidth="1"/>
    <col min="5383" max="5383" width="13.42578125" style="1" customWidth="1"/>
    <col min="5384" max="5384" width="12.42578125" style="1" bestFit="1" customWidth="1"/>
    <col min="5385" max="5391" width="0" style="1" hidden="1" customWidth="1"/>
    <col min="5392" max="5627" width="9.140625" style="1"/>
    <col min="5628" max="5628" width="13" style="1" customWidth="1"/>
    <col min="5629" max="5629" width="71.42578125" style="1" customWidth="1"/>
    <col min="5630" max="5630" width="12.85546875" style="1" customWidth="1"/>
    <col min="5631" max="5631" width="17.85546875" style="1" customWidth="1"/>
    <col min="5632" max="5632" width="15.140625" style="1" customWidth="1"/>
    <col min="5633" max="5633" width="0" style="1" hidden="1" customWidth="1"/>
    <col min="5634" max="5634" width="18.42578125" style="1" customWidth="1"/>
    <col min="5635" max="5638" width="0" style="1" hidden="1" customWidth="1"/>
    <col min="5639" max="5639" width="13.42578125" style="1" customWidth="1"/>
    <col min="5640" max="5640" width="12.42578125" style="1" bestFit="1" customWidth="1"/>
    <col min="5641" max="5647" width="0" style="1" hidden="1" customWidth="1"/>
    <col min="5648" max="5883" width="9.140625" style="1"/>
    <col min="5884" max="5884" width="13" style="1" customWidth="1"/>
    <col min="5885" max="5885" width="71.42578125" style="1" customWidth="1"/>
    <col min="5886" max="5886" width="12.85546875" style="1" customWidth="1"/>
    <col min="5887" max="5887" width="17.85546875" style="1" customWidth="1"/>
    <col min="5888" max="5888" width="15.140625" style="1" customWidth="1"/>
    <col min="5889" max="5889" width="0" style="1" hidden="1" customWidth="1"/>
    <col min="5890" max="5890" width="18.42578125" style="1" customWidth="1"/>
    <col min="5891" max="5894" width="0" style="1" hidden="1" customWidth="1"/>
    <col min="5895" max="5895" width="13.42578125" style="1" customWidth="1"/>
    <col min="5896" max="5896" width="12.42578125" style="1" bestFit="1" customWidth="1"/>
    <col min="5897" max="5903" width="0" style="1" hidden="1" customWidth="1"/>
    <col min="5904" max="6139" width="9.140625" style="1"/>
    <col min="6140" max="6140" width="13" style="1" customWidth="1"/>
    <col min="6141" max="6141" width="71.42578125" style="1" customWidth="1"/>
    <col min="6142" max="6142" width="12.85546875" style="1" customWidth="1"/>
    <col min="6143" max="6143" width="17.85546875" style="1" customWidth="1"/>
    <col min="6144" max="6144" width="15.140625" style="1" customWidth="1"/>
    <col min="6145" max="6145" width="0" style="1" hidden="1" customWidth="1"/>
    <col min="6146" max="6146" width="18.42578125" style="1" customWidth="1"/>
    <col min="6147" max="6150" width="0" style="1" hidden="1" customWidth="1"/>
    <col min="6151" max="6151" width="13.42578125" style="1" customWidth="1"/>
    <col min="6152" max="6152" width="12.42578125" style="1" bestFit="1" customWidth="1"/>
    <col min="6153" max="6159" width="0" style="1" hidden="1" customWidth="1"/>
    <col min="6160" max="6395" width="9.140625" style="1"/>
    <col min="6396" max="6396" width="13" style="1" customWidth="1"/>
    <col min="6397" max="6397" width="71.42578125" style="1" customWidth="1"/>
    <col min="6398" max="6398" width="12.85546875" style="1" customWidth="1"/>
    <col min="6399" max="6399" width="17.85546875" style="1" customWidth="1"/>
    <col min="6400" max="6400" width="15.140625" style="1" customWidth="1"/>
    <col min="6401" max="6401" width="0" style="1" hidden="1" customWidth="1"/>
    <col min="6402" max="6402" width="18.42578125" style="1" customWidth="1"/>
    <col min="6403" max="6406" width="0" style="1" hidden="1" customWidth="1"/>
    <col min="6407" max="6407" width="13.42578125" style="1" customWidth="1"/>
    <col min="6408" max="6408" width="12.42578125" style="1" bestFit="1" customWidth="1"/>
    <col min="6409" max="6415" width="0" style="1" hidden="1" customWidth="1"/>
    <col min="6416" max="6651" width="9.140625" style="1"/>
    <col min="6652" max="6652" width="13" style="1" customWidth="1"/>
    <col min="6653" max="6653" width="71.42578125" style="1" customWidth="1"/>
    <col min="6654" max="6654" width="12.85546875" style="1" customWidth="1"/>
    <col min="6655" max="6655" width="17.85546875" style="1" customWidth="1"/>
    <col min="6656" max="6656" width="15.140625" style="1" customWidth="1"/>
    <col min="6657" max="6657" width="0" style="1" hidden="1" customWidth="1"/>
    <col min="6658" max="6658" width="18.42578125" style="1" customWidth="1"/>
    <col min="6659" max="6662" width="0" style="1" hidden="1" customWidth="1"/>
    <col min="6663" max="6663" width="13.42578125" style="1" customWidth="1"/>
    <col min="6664" max="6664" width="12.42578125" style="1" bestFit="1" customWidth="1"/>
    <col min="6665" max="6671" width="0" style="1" hidden="1" customWidth="1"/>
    <col min="6672" max="6907" width="9.140625" style="1"/>
    <col min="6908" max="6908" width="13" style="1" customWidth="1"/>
    <col min="6909" max="6909" width="71.42578125" style="1" customWidth="1"/>
    <col min="6910" max="6910" width="12.85546875" style="1" customWidth="1"/>
    <col min="6911" max="6911" width="17.85546875" style="1" customWidth="1"/>
    <col min="6912" max="6912" width="15.140625" style="1" customWidth="1"/>
    <col min="6913" max="6913" width="0" style="1" hidden="1" customWidth="1"/>
    <col min="6914" max="6914" width="18.42578125" style="1" customWidth="1"/>
    <col min="6915" max="6918" width="0" style="1" hidden="1" customWidth="1"/>
    <col min="6919" max="6919" width="13.42578125" style="1" customWidth="1"/>
    <col min="6920" max="6920" width="12.42578125" style="1" bestFit="1" customWidth="1"/>
    <col min="6921" max="6927" width="0" style="1" hidden="1" customWidth="1"/>
    <col min="6928" max="7163" width="9.140625" style="1"/>
    <col min="7164" max="7164" width="13" style="1" customWidth="1"/>
    <col min="7165" max="7165" width="71.42578125" style="1" customWidth="1"/>
    <col min="7166" max="7166" width="12.85546875" style="1" customWidth="1"/>
    <col min="7167" max="7167" width="17.85546875" style="1" customWidth="1"/>
    <col min="7168" max="7168" width="15.140625" style="1" customWidth="1"/>
    <col min="7169" max="7169" width="0" style="1" hidden="1" customWidth="1"/>
    <col min="7170" max="7170" width="18.42578125" style="1" customWidth="1"/>
    <col min="7171" max="7174" width="0" style="1" hidden="1" customWidth="1"/>
    <col min="7175" max="7175" width="13.42578125" style="1" customWidth="1"/>
    <col min="7176" max="7176" width="12.42578125" style="1" bestFit="1" customWidth="1"/>
    <col min="7177" max="7183" width="0" style="1" hidden="1" customWidth="1"/>
    <col min="7184" max="7419" width="9.140625" style="1"/>
    <col min="7420" max="7420" width="13" style="1" customWidth="1"/>
    <col min="7421" max="7421" width="71.42578125" style="1" customWidth="1"/>
    <col min="7422" max="7422" width="12.85546875" style="1" customWidth="1"/>
    <col min="7423" max="7423" width="17.85546875" style="1" customWidth="1"/>
    <col min="7424" max="7424" width="15.140625" style="1" customWidth="1"/>
    <col min="7425" max="7425" width="0" style="1" hidden="1" customWidth="1"/>
    <col min="7426" max="7426" width="18.42578125" style="1" customWidth="1"/>
    <col min="7427" max="7430" width="0" style="1" hidden="1" customWidth="1"/>
    <col min="7431" max="7431" width="13.42578125" style="1" customWidth="1"/>
    <col min="7432" max="7432" width="12.42578125" style="1" bestFit="1" customWidth="1"/>
    <col min="7433" max="7439" width="0" style="1" hidden="1" customWidth="1"/>
    <col min="7440" max="7675" width="9.140625" style="1"/>
    <col min="7676" max="7676" width="13" style="1" customWidth="1"/>
    <col min="7677" max="7677" width="71.42578125" style="1" customWidth="1"/>
    <col min="7678" max="7678" width="12.85546875" style="1" customWidth="1"/>
    <col min="7679" max="7679" width="17.85546875" style="1" customWidth="1"/>
    <col min="7680" max="7680" width="15.140625" style="1" customWidth="1"/>
    <col min="7681" max="7681" width="0" style="1" hidden="1" customWidth="1"/>
    <col min="7682" max="7682" width="18.42578125" style="1" customWidth="1"/>
    <col min="7683" max="7686" width="0" style="1" hidden="1" customWidth="1"/>
    <col min="7687" max="7687" width="13.42578125" style="1" customWidth="1"/>
    <col min="7688" max="7688" width="12.42578125" style="1" bestFit="1" customWidth="1"/>
    <col min="7689" max="7695" width="0" style="1" hidden="1" customWidth="1"/>
    <col min="7696" max="7931" width="9.140625" style="1"/>
    <col min="7932" max="7932" width="13" style="1" customWidth="1"/>
    <col min="7933" max="7933" width="71.42578125" style="1" customWidth="1"/>
    <col min="7934" max="7934" width="12.85546875" style="1" customWidth="1"/>
    <col min="7935" max="7935" width="17.85546875" style="1" customWidth="1"/>
    <col min="7936" max="7936" width="15.140625" style="1" customWidth="1"/>
    <col min="7937" max="7937" width="0" style="1" hidden="1" customWidth="1"/>
    <col min="7938" max="7938" width="18.42578125" style="1" customWidth="1"/>
    <col min="7939" max="7942" width="0" style="1" hidden="1" customWidth="1"/>
    <col min="7943" max="7943" width="13.42578125" style="1" customWidth="1"/>
    <col min="7944" max="7944" width="12.42578125" style="1" bestFit="1" customWidth="1"/>
    <col min="7945" max="7951" width="0" style="1" hidden="1" customWidth="1"/>
    <col min="7952" max="8187" width="9.140625" style="1"/>
    <col min="8188" max="8188" width="13" style="1" customWidth="1"/>
    <col min="8189" max="8189" width="71.42578125" style="1" customWidth="1"/>
    <col min="8190" max="8190" width="12.85546875" style="1" customWidth="1"/>
    <col min="8191" max="8191" width="17.85546875" style="1" customWidth="1"/>
    <col min="8192" max="8192" width="15.140625" style="1" customWidth="1"/>
    <col min="8193" max="8193" width="0" style="1" hidden="1" customWidth="1"/>
    <col min="8194" max="8194" width="18.42578125" style="1" customWidth="1"/>
    <col min="8195" max="8198" width="0" style="1" hidden="1" customWidth="1"/>
    <col min="8199" max="8199" width="13.42578125" style="1" customWidth="1"/>
    <col min="8200" max="8200" width="12.42578125" style="1" bestFit="1" customWidth="1"/>
    <col min="8201" max="8207" width="0" style="1" hidden="1" customWidth="1"/>
    <col min="8208" max="8443" width="9.140625" style="1"/>
    <col min="8444" max="8444" width="13" style="1" customWidth="1"/>
    <col min="8445" max="8445" width="71.42578125" style="1" customWidth="1"/>
    <col min="8446" max="8446" width="12.85546875" style="1" customWidth="1"/>
    <col min="8447" max="8447" width="17.85546875" style="1" customWidth="1"/>
    <col min="8448" max="8448" width="15.140625" style="1" customWidth="1"/>
    <col min="8449" max="8449" width="0" style="1" hidden="1" customWidth="1"/>
    <col min="8450" max="8450" width="18.42578125" style="1" customWidth="1"/>
    <col min="8451" max="8454" width="0" style="1" hidden="1" customWidth="1"/>
    <col min="8455" max="8455" width="13.42578125" style="1" customWidth="1"/>
    <col min="8456" max="8456" width="12.42578125" style="1" bestFit="1" customWidth="1"/>
    <col min="8457" max="8463" width="0" style="1" hidden="1" customWidth="1"/>
    <col min="8464" max="8699" width="9.140625" style="1"/>
    <col min="8700" max="8700" width="13" style="1" customWidth="1"/>
    <col min="8701" max="8701" width="71.42578125" style="1" customWidth="1"/>
    <col min="8702" max="8702" width="12.85546875" style="1" customWidth="1"/>
    <col min="8703" max="8703" width="17.85546875" style="1" customWidth="1"/>
    <col min="8704" max="8704" width="15.140625" style="1" customWidth="1"/>
    <col min="8705" max="8705" width="0" style="1" hidden="1" customWidth="1"/>
    <col min="8706" max="8706" width="18.42578125" style="1" customWidth="1"/>
    <col min="8707" max="8710" width="0" style="1" hidden="1" customWidth="1"/>
    <col min="8711" max="8711" width="13.42578125" style="1" customWidth="1"/>
    <col min="8712" max="8712" width="12.42578125" style="1" bestFit="1" customWidth="1"/>
    <col min="8713" max="8719" width="0" style="1" hidden="1" customWidth="1"/>
    <col min="8720" max="8955" width="9.140625" style="1"/>
    <col min="8956" max="8956" width="13" style="1" customWidth="1"/>
    <col min="8957" max="8957" width="71.42578125" style="1" customWidth="1"/>
    <col min="8958" max="8958" width="12.85546875" style="1" customWidth="1"/>
    <col min="8959" max="8959" width="17.85546875" style="1" customWidth="1"/>
    <col min="8960" max="8960" width="15.140625" style="1" customWidth="1"/>
    <col min="8961" max="8961" width="0" style="1" hidden="1" customWidth="1"/>
    <col min="8962" max="8962" width="18.42578125" style="1" customWidth="1"/>
    <col min="8963" max="8966" width="0" style="1" hidden="1" customWidth="1"/>
    <col min="8967" max="8967" width="13.42578125" style="1" customWidth="1"/>
    <col min="8968" max="8968" width="12.42578125" style="1" bestFit="1" customWidth="1"/>
    <col min="8969" max="8975" width="0" style="1" hidden="1" customWidth="1"/>
    <col min="8976" max="9211" width="9.140625" style="1"/>
    <col min="9212" max="9212" width="13" style="1" customWidth="1"/>
    <col min="9213" max="9213" width="71.42578125" style="1" customWidth="1"/>
    <col min="9214" max="9214" width="12.85546875" style="1" customWidth="1"/>
    <col min="9215" max="9215" width="17.85546875" style="1" customWidth="1"/>
    <col min="9216" max="9216" width="15.140625" style="1" customWidth="1"/>
    <col min="9217" max="9217" width="0" style="1" hidden="1" customWidth="1"/>
    <col min="9218" max="9218" width="18.42578125" style="1" customWidth="1"/>
    <col min="9219" max="9222" width="0" style="1" hidden="1" customWidth="1"/>
    <col min="9223" max="9223" width="13.42578125" style="1" customWidth="1"/>
    <col min="9224" max="9224" width="12.42578125" style="1" bestFit="1" customWidth="1"/>
    <col min="9225" max="9231" width="0" style="1" hidden="1" customWidth="1"/>
    <col min="9232" max="9467" width="9.140625" style="1"/>
    <col min="9468" max="9468" width="13" style="1" customWidth="1"/>
    <col min="9469" max="9469" width="71.42578125" style="1" customWidth="1"/>
    <col min="9470" max="9470" width="12.85546875" style="1" customWidth="1"/>
    <col min="9471" max="9471" width="17.85546875" style="1" customWidth="1"/>
    <col min="9472" max="9472" width="15.140625" style="1" customWidth="1"/>
    <col min="9473" max="9473" width="0" style="1" hidden="1" customWidth="1"/>
    <col min="9474" max="9474" width="18.42578125" style="1" customWidth="1"/>
    <col min="9475" max="9478" width="0" style="1" hidden="1" customWidth="1"/>
    <col min="9479" max="9479" width="13.42578125" style="1" customWidth="1"/>
    <col min="9480" max="9480" width="12.42578125" style="1" bestFit="1" customWidth="1"/>
    <col min="9481" max="9487" width="0" style="1" hidden="1" customWidth="1"/>
    <col min="9488" max="9723" width="9.140625" style="1"/>
    <col min="9724" max="9724" width="13" style="1" customWidth="1"/>
    <col min="9725" max="9725" width="71.42578125" style="1" customWidth="1"/>
    <col min="9726" max="9726" width="12.85546875" style="1" customWidth="1"/>
    <col min="9727" max="9727" width="17.85546875" style="1" customWidth="1"/>
    <col min="9728" max="9728" width="15.140625" style="1" customWidth="1"/>
    <col min="9729" max="9729" width="0" style="1" hidden="1" customWidth="1"/>
    <col min="9730" max="9730" width="18.42578125" style="1" customWidth="1"/>
    <col min="9731" max="9734" width="0" style="1" hidden="1" customWidth="1"/>
    <col min="9735" max="9735" width="13.42578125" style="1" customWidth="1"/>
    <col min="9736" max="9736" width="12.42578125" style="1" bestFit="1" customWidth="1"/>
    <col min="9737" max="9743" width="0" style="1" hidden="1" customWidth="1"/>
    <col min="9744" max="9979" width="9.140625" style="1"/>
    <col min="9980" max="9980" width="13" style="1" customWidth="1"/>
    <col min="9981" max="9981" width="71.42578125" style="1" customWidth="1"/>
    <col min="9982" max="9982" width="12.85546875" style="1" customWidth="1"/>
    <col min="9983" max="9983" width="17.85546875" style="1" customWidth="1"/>
    <col min="9984" max="9984" width="15.140625" style="1" customWidth="1"/>
    <col min="9985" max="9985" width="0" style="1" hidden="1" customWidth="1"/>
    <col min="9986" max="9986" width="18.42578125" style="1" customWidth="1"/>
    <col min="9987" max="9990" width="0" style="1" hidden="1" customWidth="1"/>
    <col min="9991" max="9991" width="13.42578125" style="1" customWidth="1"/>
    <col min="9992" max="9992" width="12.42578125" style="1" bestFit="1" customWidth="1"/>
    <col min="9993" max="9999" width="0" style="1" hidden="1" customWidth="1"/>
    <col min="10000" max="10235" width="9.140625" style="1"/>
    <col min="10236" max="10236" width="13" style="1" customWidth="1"/>
    <col min="10237" max="10237" width="71.42578125" style="1" customWidth="1"/>
    <col min="10238" max="10238" width="12.85546875" style="1" customWidth="1"/>
    <col min="10239" max="10239" width="17.85546875" style="1" customWidth="1"/>
    <col min="10240" max="10240" width="15.140625" style="1" customWidth="1"/>
    <col min="10241" max="10241" width="0" style="1" hidden="1" customWidth="1"/>
    <col min="10242" max="10242" width="18.42578125" style="1" customWidth="1"/>
    <col min="10243" max="10246" width="0" style="1" hidden="1" customWidth="1"/>
    <col min="10247" max="10247" width="13.42578125" style="1" customWidth="1"/>
    <col min="10248" max="10248" width="12.42578125" style="1" bestFit="1" customWidth="1"/>
    <col min="10249" max="10255" width="0" style="1" hidden="1" customWidth="1"/>
    <col min="10256" max="10491" width="9.140625" style="1"/>
    <col min="10492" max="10492" width="13" style="1" customWidth="1"/>
    <col min="10493" max="10493" width="71.42578125" style="1" customWidth="1"/>
    <col min="10494" max="10494" width="12.85546875" style="1" customWidth="1"/>
    <col min="10495" max="10495" width="17.85546875" style="1" customWidth="1"/>
    <col min="10496" max="10496" width="15.140625" style="1" customWidth="1"/>
    <col min="10497" max="10497" width="0" style="1" hidden="1" customWidth="1"/>
    <col min="10498" max="10498" width="18.42578125" style="1" customWidth="1"/>
    <col min="10499" max="10502" width="0" style="1" hidden="1" customWidth="1"/>
    <col min="10503" max="10503" width="13.42578125" style="1" customWidth="1"/>
    <col min="10504" max="10504" width="12.42578125" style="1" bestFit="1" customWidth="1"/>
    <col min="10505" max="10511" width="0" style="1" hidden="1" customWidth="1"/>
    <col min="10512" max="10747" width="9.140625" style="1"/>
    <col min="10748" max="10748" width="13" style="1" customWidth="1"/>
    <col min="10749" max="10749" width="71.42578125" style="1" customWidth="1"/>
    <col min="10750" max="10750" width="12.85546875" style="1" customWidth="1"/>
    <col min="10751" max="10751" width="17.85546875" style="1" customWidth="1"/>
    <col min="10752" max="10752" width="15.140625" style="1" customWidth="1"/>
    <col min="10753" max="10753" width="0" style="1" hidden="1" customWidth="1"/>
    <col min="10754" max="10754" width="18.42578125" style="1" customWidth="1"/>
    <col min="10755" max="10758" width="0" style="1" hidden="1" customWidth="1"/>
    <col min="10759" max="10759" width="13.42578125" style="1" customWidth="1"/>
    <col min="10760" max="10760" width="12.42578125" style="1" bestFit="1" customWidth="1"/>
    <col min="10761" max="10767" width="0" style="1" hidden="1" customWidth="1"/>
    <col min="10768" max="11003" width="9.140625" style="1"/>
    <col min="11004" max="11004" width="13" style="1" customWidth="1"/>
    <col min="11005" max="11005" width="71.42578125" style="1" customWidth="1"/>
    <col min="11006" max="11006" width="12.85546875" style="1" customWidth="1"/>
    <col min="11007" max="11007" width="17.85546875" style="1" customWidth="1"/>
    <col min="11008" max="11008" width="15.140625" style="1" customWidth="1"/>
    <col min="11009" max="11009" width="0" style="1" hidden="1" customWidth="1"/>
    <col min="11010" max="11010" width="18.42578125" style="1" customWidth="1"/>
    <col min="11011" max="11014" width="0" style="1" hidden="1" customWidth="1"/>
    <col min="11015" max="11015" width="13.42578125" style="1" customWidth="1"/>
    <col min="11016" max="11016" width="12.42578125" style="1" bestFit="1" customWidth="1"/>
    <col min="11017" max="11023" width="0" style="1" hidden="1" customWidth="1"/>
    <col min="11024" max="11259" width="9.140625" style="1"/>
    <col min="11260" max="11260" width="13" style="1" customWidth="1"/>
    <col min="11261" max="11261" width="71.42578125" style="1" customWidth="1"/>
    <col min="11262" max="11262" width="12.85546875" style="1" customWidth="1"/>
    <col min="11263" max="11263" width="17.85546875" style="1" customWidth="1"/>
    <col min="11264" max="11264" width="15.140625" style="1" customWidth="1"/>
    <col min="11265" max="11265" width="0" style="1" hidden="1" customWidth="1"/>
    <col min="11266" max="11266" width="18.42578125" style="1" customWidth="1"/>
    <col min="11267" max="11270" width="0" style="1" hidden="1" customWidth="1"/>
    <col min="11271" max="11271" width="13.42578125" style="1" customWidth="1"/>
    <col min="11272" max="11272" width="12.42578125" style="1" bestFit="1" customWidth="1"/>
    <col min="11273" max="11279" width="0" style="1" hidden="1" customWidth="1"/>
    <col min="11280" max="11515" width="9.140625" style="1"/>
    <col min="11516" max="11516" width="13" style="1" customWidth="1"/>
    <col min="11517" max="11517" width="71.42578125" style="1" customWidth="1"/>
    <col min="11518" max="11518" width="12.85546875" style="1" customWidth="1"/>
    <col min="11519" max="11519" width="17.85546875" style="1" customWidth="1"/>
    <col min="11520" max="11520" width="15.140625" style="1" customWidth="1"/>
    <col min="11521" max="11521" width="0" style="1" hidden="1" customWidth="1"/>
    <col min="11522" max="11522" width="18.42578125" style="1" customWidth="1"/>
    <col min="11523" max="11526" width="0" style="1" hidden="1" customWidth="1"/>
    <col min="11527" max="11527" width="13.42578125" style="1" customWidth="1"/>
    <col min="11528" max="11528" width="12.42578125" style="1" bestFit="1" customWidth="1"/>
    <col min="11529" max="11535" width="0" style="1" hidden="1" customWidth="1"/>
    <col min="11536" max="11771" width="9.140625" style="1"/>
    <col min="11772" max="11772" width="13" style="1" customWidth="1"/>
    <col min="11773" max="11773" width="71.42578125" style="1" customWidth="1"/>
    <col min="11774" max="11774" width="12.85546875" style="1" customWidth="1"/>
    <col min="11775" max="11775" width="17.85546875" style="1" customWidth="1"/>
    <col min="11776" max="11776" width="15.140625" style="1" customWidth="1"/>
    <col min="11777" max="11777" width="0" style="1" hidden="1" customWidth="1"/>
    <col min="11778" max="11778" width="18.42578125" style="1" customWidth="1"/>
    <col min="11779" max="11782" width="0" style="1" hidden="1" customWidth="1"/>
    <col min="11783" max="11783" width="13.42578125" style="1" customWidth="1"/>
    <col min="11784" max="11784" width="12.42578125" style="1" bestFit="1" customWidth="1"/>
    <col min="11785" max="11791" width="0" style="1" hidden="1" customWidth="1"/>
    <col min="11792" max="12027" width="9.140625" style="1"/>
    <col min="12028" max="12028" width="13" style="1" customWidth="1"/>
    <col min="12029" max="12029" width="71.42578125" style="1" customWidth="1"/>
    <col min="12030" max="12030" width="12.85546875" style="1" customWidth="1"/>
    <col min="12031" max="12031" width="17.85546875" style="1" customWidth="1"/>
    <col min="12032" max="12032" width="15.140625" style="1" customWidth="1"/>
    <col min="12033" max="12033" width="0" style="1" hidden="1" customWidth="1"/>
    <col min="12034" max="12034" width="18.42578125" style="1" customWidth="1"/>
    <col min="12035" max="12038" width="0" style="1" hidden="1" customWidth="1"/>
    <col min="12039" max="12039" width="13.42578125" style="1" customWidth="1"/>
    <col min="12040" max="12040" width="12.42578125" style="1" bestFit="1" customWidth="1"/>
    <col min="12041" max="12047" width="0" style="1" hidden="1" customWidth="1"/>
    <col min="12048" max="12283" width="9.140625" style="1"/>
    <col min="12284" max="12284" width="13" style="1" customWidth="1"/>
    <col min="12285" max="12285" width="71.42578125" style="1" customWidth="1"/>
    <col min="12286" max="12286" width="12.85546875" style="1" customWidth="1"/>
    <col min="12287" max="12287" width="17.85546875" style="1" customWidth="1"/>
    <col min="12288" max="12288" width="15.140625" style="1" customWidth="1"/>
    <col min="12289" max="12289" width="0" style="1" hidden="1" customWidth="1"/>
    <col min="12290" max="12290" width="18.42578125" style="1" customWidth="1"/>
    <col min="12291" max="12294" width="0" style="1" hidden="1" customWidth="1"/>
    <col min="12295" max="12295" width="13.42578125" style="1" customWidth="1"/>
    <col min="12296" max="12296" width="12.42578125" style="1" bestFit="1" customWidth="1"/>
    <col min="12297" max="12303" width="0" style="1" hidden="1" customWidth="1"/>
    <col min="12304" max="12539" width="9.140625" style="1"/>
    <col min="12540" max="12540" width="13" style="1" customWidth="1"/>
    <col min="12541" max="12541" width="71.42578125" style="1" customWidth="1"/>
    <col min="12542" max="12542" width="12.85546875" style="1" customWidth="1"/>
    <col min="12543" max="12543" width="17.85546875" style="1" customWidth="1"/>
    <col min="12544" max="12544" width="15.140625" style="1" customWidth="1"/>
    <col min="12545" max="12545" width="0" style="1" hidden="1" customWidth="1"/>
    <col min="12546" max="12546" width="18.42578125" style="1" customWidth="1"/>
    <col min="12547" max="12550" width="0" style="1" hidden="1" customWidth="1"/>
    <col min="12551" max="12551" width="13.42578125" style="1" customWidth="1"/>
    <col min="12552" max="12552" width="12.42578125" style="1" bestFit="1" customWidth="1"/>
    <col min="12553" max="12559" width="0" style="1" hidden="1" customWidth="1"/>
    <col min="12560" max="12795" width="9.140625" style="1"/>
    <col min="12796" max="12796" width="13" style="1" customWidth="1"/>
    <col min="12797" max="12797" width="71.42578125" style="1" customWidth="1"/>
    <col min="12798" max="12798" width="12.85546875" style="1" customWidth="1"/>
    <col min="12799" max="12799" width="17.85546875" style="1" customWidth="1"/>
    <col min="12800" max="12800" width="15.140625" style="1" customWidth="1"/>
    <col min="12801" max="12801" width="0" style="1" hidden="1" customWidth="1"/>
    <col min="12802" max="12802" width="18.42578125" style="1" customWidth="1"/>
    <col min="12803" max="12806" width="0" style="1" hidden="1" customWidth="1"/>
    <col min="12807" max="12807" width="13.42578125" style="1" customWidth="1"/>
    <col min="12808" max="12808" width="12.42578125" style="1" bestFit="1" customWidth="1"/>
    <col min="12809" max="12815" width="0" style="1" hidden="1" customWidth="1"/>
    <col min="12816" max="13051" width="9.140625" style="1"/>
    <col min="13052" max="13052" width="13" style="1" customWidth="1"/>
    <col min="13053" max="13053" width="71.42578125" style="1" customWidth="1"/>
    <col min="13054" max="13054" width="12.85546875" style="1" customWidth="1"/>
    <col min="13055" max="13055" width="17.85546875" style="1" customWidth="1"/>
    <col min="13056" max="13056" width="15.140625" style="1" customWidth="1"/>
    <col min="13057" max="13057" width="0" style="1" hidden="1" customWidth="1"/>
    <col min="13058" max="13058" width="18.42578125" style="1" customWidth="1"/>
    <col min="13059" max="13062" width="0" style="1" hidden="1" customWidth="1"/>
    <col min="13063" max="13063" width="13.42578125" style="1" customWidth="1"/>
    <col min="13064" max="13064" width="12.42578125" style="1" bestFit="1" customWidth="1"/>
    <col min="13065" max="13071" width="0" style="1" hidden="1" customWidth="1"/>
    <col min="13072" max="13307" width="9.140625" style="1"/>
    <col min="13308" max="13308" width="13" style="1" customWidth="1"/>
    <col min="13309" max="13309" width="71.42578125" style="1" customWidth="1"/>
    <col min="13310" max="13310" width="12.85546875" style="1" customWidth="1"/>
    <col min="13311" max="13311" width="17.85546875" style="1" customWidth="1"/>
    <col min="13312" max="13312" width="15.140625" style="1" customWidth="1"/>
    <col min="13313" max="13313" width="0" style="1" hidden="1" customWidth="1"/>
    <col min="13314" max="13314" width="18.42578125" style="1" customWidth="1"/>
    <col min="13315" max="13318" width="0" style="1" hidden="1" customWidth="1"/>
    <col min="13319" max="13319" width="13.42578125" style="1" customWidth="1"/>
    <col min="13320" max="13320" width="12.42578125" style="1" bestFit="1" customWidth="1"/>
    <col min="13321" max="13327" width="0" style="1" hidden="1" customWidth="1"/>
    <col min="13328" max="13563" width="9.140625" style="1"/>
    <col min="13564" max="13564" width="13" style="1" customWidth="1"/>
    <col min="13565" max="13565" width="71.42578125" style="1" customWidth="1"/>
    <col min="13566" max="13566" width="12.85546875" style="1" customWidth="1"/>
    <col min="13567" max="13567" width="17.85546875" style="1" customWidth="1"/>
    <col min="13568" max="13568" width="15.140625" style="1" customWidth="1"/>
    <col min="13569" max="13569" width="0" style="1" hidden="1" customWidth="1"/>
    <col min="13570" max="13570" width="18.42578125" style="1" customWidth="1"/>
    <col min="13571" max="13574" width="0" style="1" hidden="1" customWidth="1"/>
    <col min="13575" max="13575" width="13.42578125" style="1" customWidth="1"/>
    <col min="13576" max="13576" width="12.42578125" style="1" bestFit="1" customWidth="1"/>
    <col min="13577" max="13583" width="0" style="1" hidden="1" customWidth="1"/>
    <col min="13584" max="13819" width="9.140625" style="1"/>
    <col min="13820" max="13820" width="13" style="1" customWidth="1"/>
    <col min="13821" max="13821" width="71.42578125" style="1" customWidth="1"/>
    <col min="13822" max="13822" width="12.85546875" style="1" customWidth="1"/>
    <col min="13823" max="13823" width="17.85546875" style="1" customWidth="1"/>
    <col min="13824" max="13824" width="15.140625" style="1" customWidth="1"/>
    <col min="13825" max="13825" width="0" style="1" hidden="1" customWidth="1"/>
    <col min="13826" max="13826" width="18.42578125" style="1" customWidth="1"/>
    <col min="13827" max="13830" width="0" style="1" hidden="1" customWidth="1"/>
    <col min="13831" max="13831" width="13.42578125" style="1" customWidth="1"/>
    <col min="13832" max="13832" width="12.42578125" style="1" bestFit="1" customWidth="1"/>
    <col min="13833" max="13839" width="0" style="1" hidden="1" customWidth="1"/>
    <col min="13840" max="14075" width="9.140625" style="1"/>
    <col min="14076" max="14076" width="13" style="1" customWidth="1"/>
    <col min="14077" max="14077" width="71.42578125" style="1" customWidth="1"/>
    <col min="14078" max="14078" width="12.85546875" style="1" customWidth="1"/>
    <col min="14079" max="14079" width="17.85546875" style="1" customWidth="1"/>
    <col min="14080" max="14080" width="15.140625" style="1" customWidth="1"/>
    <col min="14081" max="14081" width="0" style="1" hidden="1" customWidth="1"/>
    <col min="14082" max="14082" width="18.42578125" style="1" customWidth="1"/>
    <col min="14083" max="14086" width="0" style="1" hidden="1" customWidth="1"/>
    <col min="14087" max="14087" width="13.42578125" style="1" customWidth="1"/>
    <col min="14088" max="14088" width="12.42578125" style="1" bestFit="1" customWidth="1"/>
    <col min="14089" max="14095" width="0" style="1" hidden="1" customWidth="1"/>
    <col min="14096" max="14331" width="9.140625" style="1"/>
    <col min="14332" max="14332" width="13" style="1" customWidth="1"/>
    <col min="14333" max="14333" width="71.42578125" style="1" customWidth="1"/>
    <col min="14334" max="14334" width="12.85546875" style="1" customWidth="1"/>
    <col min="14335" max="14335" width="17.85546875" style="1" customWidth="1"/>
    <col min="14336" max="14336" width="15.140625" style="1" customWidth="1"/>
    <col min="14337" max="14337" width="0" style="1" hidden="1" customWidth="1"/>
    <col min="14338" max="14338" width="18.42578125" style="1" customWidth="1"/>
    <col min="14339" max="14342" width="0" style="1" hidden="1" customWidth="1"/>
    <col min="14343" max="14343" width="13.42578125" style="1" customWidth="1"/>
    <col min="14344" max="14344" width="12.42578125" style="1" bestFit="1" customWidth="1"/>
    <col min="14345" max="14351" width="0" style="1" hidden="1" customWidth="1"/>
    <col min="14352" max="14587" width="9.140625" style="1"/>
    <col min="14588" max="14588" width="13" style="1" customWidth="1"/>
    <col min="14589" max="14589" width="71.42578125" style="1" customWidth="1"/>
    <col min="14590" max="14590" width="12.85546875" style="1" customWidth="1"/>
    <col min="14591" max="14591" width="17.85546875" style="1" customWidth="1"/>
    <col min="14592" max="14592" width="15.140625" style="1" customWidth="1"/>
    <col min="14593" max="14593" width="0" style="1" hidden="1" customWidth="1"/>
    <col min="14594" max="14594" width="18.42578125" style="1" customWidth="1"/>
    <col min="14595" max="14598" width="0" style="1" hidden="1" customWidth="1"/>
    <col min="14599" max="14599" width="13.42578125" style="1" customWidth="1"/>
    <col min="14600" max="14600" width="12.42578125" style="1" bestFit="1" customWidth="1"/>
    <col min="14601" max="14607" width="0" style="1" hidden="1" customWidth="1"/>
    <col min="14608" max="14843" width="9.140625" style="1"/>
    <col min="14844" max="14844" width="13" style="1" customWidth="1"/>
    <col min="14845" max="14845" width="71.42578125" style="1" customWidth="1"/>
    <col min="14846" max="14846" width="12.85546875" style="1" customWidth="1"/>
    <col min="14847" max="14847" width="17.85546875" style="1" customWidth="1"/>
    <col min="14848" max="14848" width="15.140625" style="1" customWidth="1"/>
    <col min="14849" max="14849" width="0" style="1" hidden="1" customWidth="1"/>
    <col min="14850" max="14850" width="18.42578125" style="1" customWidth="1"/>
    <col min="14851" max="14854" width="0" style="1" hidden="1" customWidth="1"/>
    <col min="14855" max="14855" width="13.42578125" style="1" customWidth="1"/>
    <col min="14856" max="14856" width="12.42578125" style="1" bestFit="1" customWidth="1"/>
    <col min="14857" max="14863" width="0" style="1" hidden="1" customWidth="1"/>
    <col min="14864" max="15099" width="9.140625" style="1"/>
    <col min="15100" max="15100" width="13" style="1" customWidth="1"/>
    <col min="15101" max="15101" width="71.42578125" style="1" customWidth="1"/>
    <col min="15102" max="15102" width="12.85546875" style="1" customWidth="1"/>
    <col min="15103" max="15103" width="17.85546875" style="1" customWidth="1"/>
    <col min="15104" max="15104" width="15.140625" style="1" customWidth="1"/>
    <col min="15105" max="15105" width="0" style="1" hidden="1" customWidth="1"/>
    <col min="15106" max="15106" width="18.42578125" style="1" customWidth="1"/>
    <col min="15107" max="15110" width="0" style="1" hidden="1" customWidth="1"/>
    <col min="15111" max="15111" width="13.42578125" style="1" customWidth="1"/>
    <col min="15112" max="15112" width="12.42578125" style="1" bestFit="1" customWidth="1"/>
    <col min="15113" max="15119" width="0" style="1" hidden="1" customWidth="1"/>
    <col min="15120" max="15355" width="9.140625" style="1"/>
    <col min="15356" max="15356" width="13" style="1" customWidth="1"/>
    <col min="15357" max="15357" width="71.42578125" style="1" customWidth="1"/>
    <col min="15358" max="15358" width="12.85546875" style="1" customWidth="1"/>
    <col min="15359" max="15359" width="17.85546875" style="1" customWidth="1"/>
    <col min="15360" max="15360" width="15.140625" style="1" customWidth="1"/>
    <col min="15361" max="15361" width="0" style="1" hidden="1" customWidth="1"/>
    <col min="15362" max="15362" width="18.42578125" style="1" customWidth="1"/>
    <col min="15363" max="15366" width="0" style="1" hidden="1" customWidth="1"/>
    <col min="15367" max="15367" width="13.42578125" style="1" customWidth="1"/>
    <col min="15368" max="15368" width="12.42578125" style="1" bestFit="1" customWidth="1"/>
    <col min="15369" max="15375" width="0" style="1" hidden="1" customWidth="1"/>
    <col min="15376" max="15611" width="9.140625" style="1"/>
    <col min="15612" max="15612" width="13" style="1" customWidth="1"/>
    <col min="15613" max="15613" width="71.42578125" style="1" customWidth="1"/>
    <col min="15614" max="15614" width="12.85546875" style="1" customWidth="1"/>
    <col min="15615" max="15615" width="17.85546875" style="1" customWidth="1"/>
    <col min="15616" max="15616" width="15.140625" style="1" customWidth="1"/>
    <col min="15617" max="15617" width="0" style="1" hidden="1" customWidth="1"/>
    <col min="15618" max="15618" width="18.42578125" style="1" customWidth="1"/>
    <col min="15619" max="15622" width="0" style="1" hidden="1" customWidth="1"/>
    <col min="15623" max="15623" width="13.42578125" style="1" customWidth="1"/>
    <col min="15624" max="15624" width="12.42578125" style="1" bestFit="1" customWidth="1"/>
    <col min="15625" max="15631" width="0" style="1" hidden="1" customWidth="1"/>
    <col min="15632" max="15867" width="9.140625" style="1"/>
    <col min="15868" max="15868" width="13" style="1" customWidth="1"/>
    <col min="15869" max="15869" width="71.42578125" style="1" customWidth="1"/>
    <col min="15870" max="15870" width="12.85546875" style="1" customWidth="1"/>
    <col min="15871" max="15871" width="17.85546875" style="1" customWidth="1"/>
    <col min="15872" max="15872" width="15.140625" style="1" customWidth="1"/>
    <col min="15873" max="15873" width="0" style="1" hidden="1" customWidth="1"/>
    <col min="15874" max="15874" width="18.42578125" style="1" customWidth="1"/>
    <col min="15875" max="15878" width="0" style="1" hidden="1" customWidth="1"/>
    <col min="15879" max="15879" width="13.42578125" style="1" customWidth="1"/>
    <col min="15880" max="15880" width="12.42578125" style="1" bestFit="1" customWidth="1"/>
    <col min="15881" max="15887" width="0" style="1" hidden="1" customWidth="1"/>
    <col min="15888" max="16123" width="9.140625" style="1"/>
    <col min="16124" max="16124" width="13" style="1" customWidth="1"/>
    <col min="16125" max="16125" width="71.42578125" style="1" customWidth="1"/>
    <col min="16126" max="16126" width="12.85546875" style="1" customWidth="1"/>
    <col min="16127" max="16127" width="17.85546875" style="1" customWidth="1"/>
    <col min="16128" max="16128" width="15.140625" style="1" customWidth="1"/>
    <col min="16129" max="16129" width="0" style="1" hidden="1" customWidth="1"/>
    <col min="16130" max="16130" width="18.42578125" style="1" customWidth="1"/>
    <col min="16131" max="16134" width="0" style="1" hidden="1" customWidth="1"/>
    <col min="16135" max="16135" width="13.42578125" style="1" customWidth="1"/>
    <col min="16136" max="16136" width="12.42578125" style="1" bestFit="1" customWidth="1"/>
    <col min="16137" max="16143" width="0" style="1" hidden="1" customWidth="1"/>
    <col min="16144" max="16384" width="9.140625" style="1"/>
  </cols>
  <sheetData>
    <row r="1" spans="1:8" ht="21.95" customHeight="1" x14ac:dyDescent="0.35">
      <c r="A1" s="121"/>
      <c r="B1" s="69"/>
      <c r="C1" s="6"/>
      <c r="D1" s="70"/>
      <c r="E1" s="233"/>
      <c r="H1" s="188" t="s">
        <v>537</v>
      </c>
    </row>
    <row r="2" spans="1:8" ht="20.100000000000001" customHeight="1" x14ac:dyDescent="0.3">
      <c r="A2" s="231"/>
      <c r="B2" s="69"/>
      <c r="C2" s="6"/>
      <c r="D2" s="70"/>
      <c r="E2" s="233"/>
      <c r="H2" s="188" t="s">
        <v>18</v>
      </c>
    </row>
    <row r="3" spans="1:8" ht="20.100000000000001" customHeight="1" x14ac:dyDescent="0.3">
      <c r="A3" s="231"/>
      <c r="B3" s="233"/>
      <c r="C3" s="71"/>
      <c r="D3" s="72"/>
      <c r="E3" s="9"/>
      <c r="G3" s="253"/>
      <c r="H3" s="10" t="s">
        <v>16</v>
      </c>
    </row>
    <row r="4" spans="1:8" ht="20.100000000000001" customHeight="1" x14ac:dyDescent="0.3">
      <c r="A4" s="231"/>
      <c r="B4" s="74"/>
      <c r="C4" s="75"/>
      <c r="D4" s="70"/>
      <c r="E4" s="253"/>
      <c r="G4" s="253"/>
      <c r="H4" s="10" t="s">
        <v>533</v>
      </c>
    </row>
    <row r="5" spans="1:8" ht="45.6" customHeight="1" x14ac:dyDescent="0.2">
      <c r="A5" s="318" t="s">
        <v>538</v>
      </c>
      <c r="B5" s="319"/>
      <c r="C5" s="319"/>
      <c r="D5" s="319"/>
      <c r="E5" s="319"/>
      <c r="F5" s="319"/>
      <c r="G5" s="319"/>
      <c r="H5" s="319"/>
    </row>
    <row r="6" spans="1:8" ht="18.75" customHeight="1" x14ac:dyDescent="0.3">
      <c r="A6" s="254"/>
      <c r="B6" s="254"/>
      <c r="C6" s="254"/>
      <c r="D6" s="254"/>
      <c r="E6" s="254"/>
      <c r="F6" s="254"/>
      <c r="H6" s="192" t="s">
        <v>447</v>
      </c>
    </row>
    <row r="7" spans="1:8" ht="29.25" customHeight="1" x14ac:dyDescent="0.2">
      <c r="A7" s="325" t="s">
        <v>19</v>
      </c>
      <c r="B7" s="325" t="s">
        <v>20</v>
      </c>
      <c r="C7" s="325" t="s">
        <v>464</v>
      </c>
      <c r="D7" s="327" t="s">
        <v>22</v>
      </c>
      <c r="E7" s="325" t="s">
        <v>23</v>
      </c>
      <c r="F7" s="329" t="s">
        <v>443</v>
      </c>
      <c r="G7" s="324" t="s">
        <v>444</v>
      </c>
      <c r="H7" s="324"/>
    </row>
    <row r="8" spans="1:8" ht="24" customHeight="1" x14ac:dyDescent="0.25">
      <c r="A8" s="326"/>
      <c r="B8" s="326"/>
      <c r="C8" s="326"/>
      <c r="D8" s="328"/>
      <c r="E8" s="326"/>
      <c r="F8" s="330"/>
      <c r="G8" s="269" t="s">
        <v>445</v>
      </c>
      <c r="H8" s="269" t="s">
        <v>446</v>
      </c>
    </row>
    <row r="9" spans="1:8" ht="15.75" x14ac:dyDescent="0.25">
      <c r="A9" s="255">
        <v>1</v>
      </c>
      <c r="B9" s="255">
        <v>2</v>
      </c>
      <c r="C9" s="255" t="s">
        <v>24</v>
      </c>
      <c r="D9" s="256">
        <v>4</v>
      </c>
      <c r="E9" s="255" t="s">
        <v>26</v>
      </c>
      <c r="F9" s="263">
        <v>6</v>
      </c>
      <c r="G9" s="270">
        <v>7</v>
      </c>
      <c r="H9" s="270">
        <v>8</v>
      </c>
    </row>
    <row r="10" spans="1:8" s="78" customFormat="1" ht="20.100000000000001" customHeight="1" x14ac:dyDescent="0.3">
      <c r="A10" s="76" t="s">
        <v>29</v>
      </c>
      <c r="B10" s="77" t="s">
        <v>30</v>
      </c>
      <c r="C10" s="76" t="s">
        <v>180</v>
      </c>
      <c r="D10" s="115"/>
      <c r="E10" s="36"/>
      <c r="F10" s="264">
        <f>F11+F14+F23+F41+F44+F35</f>
        <v>36808.300000000003</v>
      </c>
      <c r="G10" s="264">
        <f>G11+G14+G23+G41+G44+G35</f>
        <v>37619.9</v>
      </c>
      <c r="H10" s="264">
        <f>H11+H14+H23+H41+H44+H35</f>
        <v>36321.4</v>
      </c>
    </row>
    <row r="11" spans="1:8" s="78" customFormat="1" ht="36.950000000000003" customHeight="1" x14ac:dyDescent="0.3">
      <c r="A11" s="79" t="s">
        <v>0</v>
      </c>
      <c r="B11" s="80" t="s">
        <v>151</v>
      </c>
      <c r="C11" s="79" t="s">
        <v>181</v>
      </c>
      <c r="D11" s="116"/>
      <c r="E11" s="26"/>
      <c r="F11" s="265">
        <f>F12</f>
        <v>1117.7</v>
      </c>
      <c r="G11" s="265">
        <f t="shared" ref="G11:H11" si="0">G12</f>
        <v>1015.6</v>
      </c>
      <c r="H11" s="265">
        <f t="shared" si="0"/>
        <v>1046.8</v>
      </c>
    </row>
    <row r="12" spans="1:8" s="78" customFormat="1" ht="18.95" customHeight="1" x14ac:dyDescent="0.3">
      <c r="A12" s="79"/>
      <c r="B12" s="81" t="s">
        <v>153</v>
      </c>
      <c r="C12" s="79" t="s">
        <v>182</v>
      </c>
      <c r="D12" s="116" t="str">
        <f>[2]ВСР!E115</f>
        <v>00201 00010</v>
      </c>
      <c r="E12" s="26"/>
      <c r="F12" s="266">
        <f>F13</f>
        <v>1117.7</v>
      </c>
      <c r="G12" s="266">
        <f t="shared" ref="G12:H12" si="1">G13</f>
        <v>1015.6</v>
      </c>
      <c r="H12" s="266">
        <f t="shared" si="1"/>
        <v>1046.8</v>
      </c>
    </row>
    <row r="13" spans="1:8" s="78" customFormat="1" ht="77.45" customHeight="1" x14ac:dyDescent="0.3">
      <c r="A13" s="79"/>
      <c r="B13" s="81" t="s">
        <v>38</v>
      </c>
      <c r="C13" s="79" t="s">
        <v>182</v>
      </c>
      <c r="D13" s="116" t="str">
        <f>[2]ВСР!E116</f>
        <v>00201 00010</v>
      </c>
      <c r="E13" s="26" t="s">
        <v>39</v>
      </c>
      <c r="F13" s="266">
        <f>ВСР!G114</f>
        <v>1117.7</v>
      </c>
      <c r="G13" s="266">
        <f>ВСР!H114</f>
        <v>1015.6</v>
      </c>
      <c r="H13" s="266">
        <f>ВСР!I114</f>
        <v>1046.8</v>
      </c>
    </row>
    <row r="14" spans="1:8" s="78" customFormat="1" ht="55.5" customHeight="1" x14ac:dyDescent="0.3">
      <c r="A14" s="82" t="s">
        <v>40</v>
      </c>
      <c r="B14" s="83" t="s">
        <v>155</v>
      </c>
      <c r="C14" s="82" t="s">
        <v>183</v>
      </c>
      <c r="D14" s="117"/>
      <c r="E14" s="23"/>
      <c r="F14" s="265">
        <f>F17+F19+F15</f>
        <v>7642.3</v>
      </c>
      <c r="G14" s="265">
        <f t="shared" ref="G14:H14" si="2">G17+G19+G15</f>
        <v>7339.8000000000011</v>
      </c>
      <c r="H14" s="265">
        <f t="shared" si="2"/>
        <v>7623.4000000000015</v>
      </c>
    </row>
    <row r="15" spans="1:8" s="78" customFormat="1" ht="17.100000000000001" customHeight="1" x14ac:dyDescent="0.3">
      <c r="A15" s="82" t="s">
        <v>43</v>
      </c>
      <c r="B15" s="83" t="s">
        <v>184</v>
      </c>
      <c r="C15" s="82" t="s">
        <v>185</v>
      </c>
      <c r="D15" s="23" t="str">
        <f>[2]ВСР!E118</f>
        <v>00203 00021</v>
      </c>
      <c r="E15" s="23"/>
      <c r="F15" s="265">
        <f>F16</f>
        <v>778.2</v>
      </c>
      <c r="G15" s="265">
        <f t="shared" ref="G15:H15" si="3">G16</f>
        <v>675.40000000000009</v>
      </c>
      <c r="H15" s="265">
        <f t="shared" si="3"/>
        <v>696.1</v>
      </c>
    </row>
    <row r="16" spans="1:8" s="78" customFormat="1" ht="108.95" customHeight="1" x14ac:dyDescent="0.3">
      <c r="A16" s="82"/>
      <c r="B16" s="83" t="s">
        <v>159</v>
      </c>
      <c r="C16" s="82" t="s">
        <v>185</v>
      </c>
      <c r="D16" s="117" t="s">
        <v>158</v>
      </c>
      <c r="E16" s="23" t="s">
        <v>39</v>
      </c>
      <c r="F16" s="265">
        <f>ВСР!G117</f>
        <v>778.2</v>
      </c>
      <c r="G16" s="265">
        <f>ВСР!H117</f>
        <v>675.40000000000009</v>
      </c>
      <c r="H16" s="265">
        <f>ВСР!I117</f>
        <v>696.1</v>
      </c>
    </row>
    <row r="17" spans="1:15" s="78" customFormat="1" ht="36.950000000000003" customHeight="1" x14ac:dyDescent="0.3">
      <c r="A17" s="82" t="s">
        <v>44</v>
      </c>
      <c r="B17" s="83" t="s">
        <v>160</v>
      </c>
      <c r="C17" s="82" t="s">
        <v>185</v>
      </c>
      <c r="D17" s="23" t="str">
        <f>[2]ВСР!E120</f>
        <v>00203 00022</v>
      </c>
      <c r="E17" s="23"/>
      <c r="F17" s="265">
        <f>F18</f>
        <v>93.6</v>
      </c>
      <c r="G17" s="265">
        <f t="shared" ref="G17:H17" si="4">G18</f>
        <v>93.6</v>
      </c>
      <c r="H17" s="265">
        <f t="shared" si="4"/>
        <v>93.6</v>
      </c>
    </row>
    <row r="18" spans="1:15" s="78" customFormat="1" ht="110.1" customHeight="1" x14ac:dyDescent="0.3">
      <c r="A18" s="82"/>
      <c r="B18" s="83" t="s">
        <v>159</v>
      </c>
      <c r="C18" s="82" t="s">
        <v>185</v>
      </c>
      <c r="D18" s="117" t="s">
        <v>161</v>
      </c>
      <c r="E18" s="23" t="s">
        <v>39</v>
      </c>
      <c r="F18" s="265">
        <f>ВСР!G119</f>
        <v>93.6</v>
      </c>
      <c r="G18" s="265">
        <f>ВСР!H119</f>
        <v>93.6</v>
      </c>
      <c r="H18" s="265">
        <f>ВСР!I119</f>
        <v>93.6</v>
      </c>
    </row>
    <row r="19" spans="1:15" s="78" customFormat="1" ht="35.1" customHeight="1" x14ac:dyDescent="0.3">
      <c r="A19" s="82" t="s">
        <v>47</v>
      </c>
      <c r="B19" s="83" t="s">
        <v>162</v>
      </c>
      <c r="C19" s="82" t="s">
        <v>185</v>
      </c>
      <c r="D19" s="23" t="str">
        <f>[2]ВСР!E123</f>
        <v>00204 00020</v>
      </c>
      <c r="E19" s="23"/>
      <c r="F19" s="265">
        <f>F20+F21+F22</f>
        <v>6770.5</v>
      </c>
      <c r="G19" s="265">
        <f t="shared" ref="G19:H19" si="5">G20+G21+G22</f>
        <v>6570.8</v>
      </c>
      <c r="H19" s="265">
        <f t="shared" si="5"/>
        <v>6833.7000000000007</v>
      </c>
    </row>
    <row r="20" spans="1:15" s="78" customFormat="1" ht="72" customHeight="1" x14ac:dyDescent="0.3">
      <c r="A20" s="82"/>
      <c r="B20" s="81" t="s">
        <v>38</v>
      </c>
      <c r="C20" s="82" t="s">
        <v>185</v>
      </c>
      <c r="D20" s="117" t="s">
        <v>163</v>
      </c>
      <c r="E20" s="23" t="s">
        <v>39</v>
      </c>
      <c r="F20" s="265">
        <f>ВСР!G121</f>
        <v>4088.1</v>
      </c>
      <c r="G20" s="265">
        <f>ВСР!H121</f>
        <v>3872.2</v>
      </c>
      <c r="H20" s="265">
        <f>ВСР!I121</f>
        <v>3991.1</v>
      </c>
    </row>
    <row r="21" spans="1:15" s="78" customFormat="1" ht="33.75" customHeight="1" x14ac:dyDescent="0.3">
      <c r="A21" s="82"/>
      <c r="B21" s="84" t="s">
        <v>45</v>
      </c>
      <c r="C21" s="82" t="s">
        <v>185</v>
      </c>
      <c r="D21" s="117" t="s">
        <v>163</v>
      </c>
      <c r="E21" s="23" t="s">
        <v>46</v>
      </c>
      <c r="F21" s="265">
        <f>ВСР!G122</f>
        <v>2666.3</v>
      </c>
      <c r="G21" s="265">
        <f>ВСР!H122</f>
        <v>2682.5</v>
      </c>
      <c r="H21" s="265">
        <f>ВСР!I122</f>
        <v>2826.5</v>
      </c>
    </row>
    <row r="22" spans="1:15" s="78" customFormat="1" ht="20.100000000000001" customHeight="1" x14ac:dyDescent="0.3">
      <c r="A22" s="82"/>
      <c r="B22" s="83" t="s">
        <v>48</v>
      </c>
      <c r="C22" s="82" t="s">
        <v>186</v>
      </c>
      <c r="D22" s="117" t="s">
        <v>163</v>
      </c>
      <c r="E22" s="23" t="s">
        <v>49</v>
      </c>
      <c r="F22" s="265">
        <f>ВСР!G123</f>
        <v>16.100000000000001</v>
      </c>
      <c r="G22" s="265">
        <f>ВСР!H123</f>
        <v>16.100000000000001</v>
      </c>
      <c r="H22" s="265">
        <f>ВСР!I123</f>
        <v>16.100000000000001</v>
      </c>
    </row>
    <row r="23" spans="1:15" s="78" customFormat="1" ht="54" customHeight="1" x14ac:dyDescent="0.3">
      <c r="A23" s="82" t="s">
        <v>8</v>
      </c>
      <c r="B23" s="85" t="s">
        <v>33</v>
      </c>
      <c r="C23" s="82" t="s">
        <v>187</v>
      </c>
      <c r="D23" s="117"/>
      <c r="E23" s="23"/>
      <c r="F23" s="265">
        <f>F24+F26+F30+F32</f>
        <v>16679.8</v>
      </c>
      <c r="G23" s="265">
        <f t="shared" ref="G23:H23" si="6">G24+G26+G30+G32</f>
        <v>16029.3</v>
      </c>
      <c r="H23" s="265">
        <f t="shared" si="6"/>
        <v>16546.400000000001</v>
      </c>
    </row>
    <row r="24" spans="1:15" s="78" customFormat="1" ht="20.100000000000001" customHeight="1" x14ac:dyDescent="0.3">
      <c r="A24" s="82" t="s">
        <v>64</v>
      </c>
      <c r="B24" s="81" t="s">
        <v>36</v>
      </c>
      <c r="C24" s="82" t="s">
        <v>188</v>
      </c>
      <c r="D24" s="23" t="str">
        <f>[2]ВСР!E15</f>
        <v>00205 00030</v>
      </c>
      <c r="E24" s="23"/>
      <c r="F24" s="265">
        <f>F25</f>
        <v>1217</v>
      </c>
      <c r="G24" s="265">
        <f t="shared" ref="G24:H24" si="7">G25</f>
        <v>1091.8</v>
      </c>
      <c r="H24" s="265">
        <f t="shared" si="7"/>
        <v>1125.3</v>
      </c>
    </row>
    <row r="25" spans="1:15" s="78" customFormat="1" ht="78.75" customHeight="1" x14ac:dyDescent="0.3">
      <c r="A25" s="82"/>
      <c r="B25" s="81" t="s">
        <v>38</v>
      </c>
      <c r="C25" s="82" t="s">
        <v>188</v>
      </c>
      <c r="D25" s="117" t="s">
        <v>37</v>
      </c>
      <c r="E25" s="26" t="s">
        <v>39</v>
      </c>
      <c r="F25" s="266">
        <f>ВСР!G15</f>
        <v>1217</v>
      </c>
      <c r="G25" s="266">
        <f>ВСР!H15</f>
        <v>1091.8</v>
      </c>
      <c r="H25" s="266">
        <f>ВСР!I15</f>
        <v>1125.3</v>
      </c>
    </row>
    <row r="26" spans="1:15" ht="74.099999999999994" customHeight="1" x14ac:dyDescent="0.3">
      <c r="A26" s="86" t="s">
        <v>68</v>
      </c>
      <c r="B26" s="87" t="s">
        <v>41</v>
      </c>
      <c r="C26" s="82" t="s">
        <v>188</v>
      </c>
      <c r="D26" s="23" t="str">
        <f>[2]ВСР!E17</f>
        <v>00206 00030</v>
      </c>
      <c r="E26" s="23"/>
      <c r="F26" s="265">
        <f>F27+F28+F29</f>
        <v>13057.8</v>
      </c>
      <c r="G26" s="265">
        <f t="shared" ref="G26:H26" si="8">G27+G28+G29</f>
        <v>12521.9</v>
      </c>
      <c r="H26" s="265">
        <f t="shared" si="8"/>
        <v>12926.7</v>
      </c>
    </row>
    <row r="27" spans="1:15" ht="78" customHeight="1" x14ac:dyDescent="0.3">
      <c r="A27" s="257"/>
      <c r="B27" s="88" t="s">
        <v>38</v>
      </c>
      <c r="C27" s="79" t="s">
        <v>188</v>
      </c>
      <c r="D27" s="117" t="s">
        <v>42</v>
      </c>
      <c r="E27" s="23" t="s">
        <v>39</v>
      </c>
      <c r="F27" s="265">
        <f>ВСР!G17</f>
        <v>10532.699999999999</v>
      </c>
      <c r="G27" s="265">
        <f>ВСР!H17</f>
        <v>9888.2999999999993</v>
      </c>
      <c r="H27" s="265">
        <f>ВСР!I17</f>
        <v>10192</v>
      </c>
    </row>
    <row r="28" spans="1:15" s="8" customFormat="1" ht="37.5" x14ac:dyDescent="0.3">
      <c r="A28" s="257"/>
      <c r="B28" s="89" t="s">
        <v>45</v>
      </c>
      <c r="C28" s="79" t="s">
        <v>188</v>
      </c>
      <c r="D28" s="117" t="s">
        <v>42</v>
      </c>
      <c r="E28" s="23" t="s">
        <v>46</v>
      </c>
      <c r="F28" s="265">
        <f>ВСР!G18</f>
        <v>2503.9000000000005</v>
      </c>
      <c r="G28" s="265">
        <f>ВСР!H18</f>
        <v>2612.4</v>
      </c>
      <c r="H28" s="265">
        <f>ВСР!I18</f>
        <v>2713.5</v>
      </c>
      <c r="I28" s="1"/>
      <c r="J28" s="1"/>
      <c r="K28" s="1"/>
      <c r="L28" s="1"/>
      <c r="M28" s="1"/>
      <c r="N28" s="1"/>
      <c r="O28" s="1"/>
    </row>
    <row r="29" spans="1:15" ht="22.5" customHeight="1" x14ac:dyDescent="0.3">
      <c r="A29" s="257"/>
      <c r="B29" s="90" t="s">
        <v>48</v>
      </c>
      <c r="C29" s="82" t="s">
        <v>188</v>
      </c>
      <c r="D29" s="117" t="s">
        <v>42</v>
      </c>
      <c r="E29" s="23" t="s">
        <v>49</v>
      </c>
      <c r="F29" s="266">
        <f>ВСР!G19</f>
        <v>21.2</v>
      </c>
      <c r="G29" s="266">
        <f>ВСР!H19</f>
        <v>21.2</v>
      </c>
      <c r="H29" s="266">
        <f>ВСР!I19</f>
        <v>21.2</v>
      </c>
    </row>
    <row r="30" spans="1:15" ht="75" x14ac:dyDescent="0.3">
      <c r="A30" s="86" t="s">
        <v>72</v>
      </c>
      <c r="B30" s="91" t="s">
        <v>50</v>
      </c>
      <c r="C30" s="79" t="s">
        <v>188</v>
      </c>
      <c r="D30" s="26" t="str">
        <f>[2]ВСР!E20</f>
        <v>09200 G0100</v>
      </c>
      <c r="E30" s="26"/>
      <c r="F30" s="266">
        <f>F31</f>
        <v>6.9</v>
      </c>
      <c r="G30" s="266">
        <f t="shared" ref="G30:H30" si="9">G31</f>
        <v>7.3</v>
      </c>
      <c r="H30" s="266">
        <f t="shared" si="9"/>
        <v>7.7</v>
      </c>
    </row>
    <row r="31" spans="1:15" ht="37.5" x14ac:dyDescent="0.3">
      <c r="A31" s="257"/>
      <c r="B31" s="92" t="s">
        <v>45</v>
      </c>
      <c r="C31" s="79" t="s">
        <v>188</v>
      </c>
      <c r="D31" s="116" t="s">
        <v>51</v>
      </c>
      <c r="E31" s="26" t="s">
        <v>46</v>
      </c>
      <c r="F31" s="266">
        <f>ВСР!G21</f>
        <v>6.9</v>
      </c>
      <c r="G31" s="266">
        <f>ВСР!H21</f>
        <v>7.3</v>
      </c>
      <c r="H31" s="266">
        <f>ВСР!I21</f>
        <v>7.7</v>
      </c>
    </row>
    <row r="32" spans="1:15" ht="75" x14ac:dyDescent="0.3">
      <c r="A32" s="86" t="s">
        <v>74</v>
      </c>
      <c r="B32" s="32" t="s">
        <v>53</v>
      </c>
      <c r="C32" s="79" t="s">
        <v>188</v>
      </c>
      <c r="D32" s="44" t="str">
        <f>[2]ВСР!E22</f>
        <v>00200 G0850</v>
      </c>
      <c r="E32" s="26"/>
      <c r="F32" s="266">
        <f>SUM(F33:F34)</f>
        <v>2398.1</v>
      </c>
      <c r="G32" s="266">
        <f t="shared" ref="G32:H32" si="10">SUM(G33:G34)</f>
        <v>2408.3000000000002</v>
      </c>
      <c r="H32" s="266">
        <f t="shared" si="10"/>
        <v>2486.6999999999998</v>
      </c>
    </row>
    <row r="33" spans="1:8" ht="77.25" customHeight="1" x14ac:dyDescent="0.3">
      <c r="A33" s="257"/>
      <c r="B33" s="32" t="s">
        <v>38</v>
      </c>
      <c r="C33" s="79" t="s">
        <v>188</v>
      </c>
      <c r="D33" s="118" t="s">
        <v>54</v>
      </c>
      <c r="E33" s="26" t="s">
        <v>39</v>
      </c>
      <c r="F33" s="266">
        <f>ВСР!G23</f>
        <v>2208.7999999999997</v>
      </c>
      <c r="G33" s="266">
        <f>ВСР!H23</f>
        <v>2208.8000000000002</v>
      </c>
      <c r="H33" s="266">
        <f>ВСР!I23</f>
        <v>2276.6999999999998</v>
      </c>
    </row>
    <row r="34" spans="1:8" ht="37.5" x14ac:dyDescent="0.3">
      <c r="A34" s="86"/>
      <c r="B34" s="31" t="s">
        <v>45</v>
      </c>
      <c r="C34" s="79" t="s">
        <v>188</v>
      </c>
      <c r="D34" s="118" t="s">
        <v>54</v>
      </c>
      <c r="E34" s="26" t="s">
        <v>46</v>
      </c>
      <c r="F34" s="266">
        <f>ВСР!G24</f>
        <v>189.3</v>
      </c>
      <c r="G34" s="266">
        <f>ВСР!H24</f>
        <v>199.5</v>
      </c>
      <c r="H34" s="266">
        <f>ВСР!I24</f>
        <v>210</v>
      </c>
    </row>
    <row r="35" spans="1:8" ht="37.5" x14ac:dyDescent="0.3">
      <c r="A35" s="86" t="s">
        <v>9</v>
      </c>
      <c r="B35" s="292" t="s">
        <v>509</v>
      </c>
      <c r="C35" s="79" t="s">
        <v>210</v>
      </c>
      <c r="D35" s="118"/>
      <c r="E35" s="26"/>
      <c r="F35" s="266">
        <f>F36+F38</f>
        <v>0</v>
      </c>
      <c r="G35" s="266">
        <f t="shared" ref="G35:H35" si="11">G36+G38</f>
        <v>2469.9</v>
      </c>
      <c r="H35" s="266">
        <f t="shared" si="11"/>
        <v>0</v>
      </c>
    </row>
    <row r="36" spans="1:8" ht="36.75" customHeight="1" x14ac:dyDescent="0.3">
      <c r="A36" s="86" t="s">
        <v>530</v>
      </c>
      <c r="B36" s="292" t="s">
        <v>511</v>
      </c>
      <c r="C36" s="79" t="s">
        <v>517</v>
      </c>
      <c r="D36" s="44" t="s">
        <v>512</v>
      </c>
      <c r="E36" s="26"/>
      <c r="F36" s="266">
        <f>F37</f>
        <v>0</v>
      </c>
      <c r="G36" s="266">
        <f t="shared" ref="G36:H36" si="12">G37</f>
        <v>1995.7</v>
      </c>
      <c r="H36" s="266">
        <f t="shared" si="12"/>
        <v>0</v>
      </c>
    </row>
    <row r="37" spans="1:8" ht="80.25" customHeight="1" x14ac:dyDescent="0.3">
      <c r="A37" s="86"/>
      <c r="B37" s="32" t="s">
        <v>38</v>
      </c>
      <c r="C37" s="79" t="s">
        <v>517</v>
      </c>
      <c r="D37" s="44" t="s">
        <v>512</v>
      </c>
      <c r="E37" s="26" t="s">
        <v>39</v>
      </c>
      <c r="F37" s="266">
        <f>ВСР!G137</f>
        <v>0</v>
      </c>
      <c r="G37" s="266">
        <f>ВСР!H137</f>
        <v>1995.7</v>
      </c>
      <c r="H37" s="266">
        <f>ВСР!I137</f>
        <v>0</v>
      </c>
    </row>
    <row r="38" spans="1:8" ht="37.5" x14ac:dyDescent="0.3">
      <c r="A38" s="86" t="s">
        <v>531</v>
      </c>
      <c r="B38" s="32" t="s">
        <v>520</v>
      </c>
      <c r="C38" s="79" t="s">
        <v>517</v>
      </c>
      <c r="D38" s="44" t="s">
        <v>519</v>
      </c>
      <c r="E38" s="26"/>
      <c r="F38" s="266">
        <f>F39+F40</f>
        <v>0</v>
      </c>
      <c r="G38" s="266">
        <f t="shared" ref="G38:H38" si="13">G39+G40</f>
        <v>474.2</v>
      </c>
      <c r="H38" s="266">
        <f t="shared" si="13"/>
        <v>0</v>
      </c>
    </row>
    <row r="39" spans="1:8" ht="37.5" x14ac:dyDescent="0.3">
      <c r="A39" s="86"/>
      <c r="B39" s="31" t="s">
        <v>45</v>
      </c>
      <c r="C39" s="79" t="s">
        <v>517</v>
      </c>
      <c r="D39" s="44" t="s">
        <v>519</v>
      </c>
      <c r="E39" s="26" t="s">
        <v>46</v>
      </c>
      <c r="F39" s="266">
        <f>ВСР!G139</f>
        <v>0</v>
      </c>
      <c r="G39" s="266">
        <f>ВСР!H139</f>
        <v>470.2</v>
      </c>
      <c r="H39" s="266">
        <f>ВСР!I139</f>
        <v>0</v>
      </c>
    </row>
    <row r="40" spans="1:8" ht="18.75" x14ac:dyDescent="0.3">
      <c r="A40" s="86"/>
      <c r="B40" s="30" t="s">
        <v>48</v>
      </c>
      <c r="C40" s="79" t="s">
        <v>517</v>
      </c>
      <c r="D40" s="44" t="s">
        <v>519</v>
      </c>
      <c r="E40" s="26" t="s">
        <v>49</v>
      </c>
      <c r="F40" s="266">
        <f>ВСР!G140</f>
        <v>0</v>
      </c>
      <c r="G40" s="266">
        <f>ВСР!H140</f>
        <v>4</v>
      </c>
      <c r="H40" s="266">
        <f>ВСР!I140</f>
        <v>0</v>
      </c>
    </row>
    <row r="41" spans="1:8" ht="23.1" customHeight="1" x14ac:dyDescent="0.3">
      <c r="A41" s="86" t="s">
        <v>11</v>
      </c>
      <c r="B41" s="95" t="s">
        <v>189</v>
      </c>
      <c r="C41" s="79" t="s">
        <v>190</v>
      </c>
      <c r="D41" s="116"/>
      <c r="E41" s="26"/>
      <c r="F41" s="266">
        <f>F42</f>
        <v>65</v>
      </c>
      <c r="G41" s="266">
        <f t="shared" ref="G41:H42" si="14">G42</f>
        <v>65</v>
      </c>
      <c r="H41" s="266">
        <f t="shared" si="14"/>
        <v>65</v>
      </c>
    </row>
    <row r="42" spans="1:8" ht="18.75" x14ac:dyDescent="0.3">
      <c r="A42" s="86"/>
      <c r="B42" s="95" t="s">
        <v>59</v>
      </c>
      <c r="C42" s="79" t="s">
        <v>191</v>
      </c>
      <c r="D42" s="26" t="str">
        <f>[2]ВСР!E26</f>
        <v>07001 00060</v>
      </c>
      <c r="E42" s="26"/>
      <c r="F42" s="266">
        <f>F43</f>
        <v>65</v>
      </c>
      <c r="G42" s="266">
        <f t="shared" si="14"/>
        <v>65</v>
      </c>
      <c r="H42" s="266">
        <f t="shared" si="14"/>
        <v>65</v>
      </c>
    </row>
    <row r="43" spans="1:8" ht="18.75" x14ac:dyDescent="0.3">
      <c r="A43" s="86"/>
      <c r="B43" s="95" t="s">
        <v>48</v>
      </c>
      <c r="C43" s="79" t="s">
        <v>191</v>
      </c>
      <c r="D43" s="116" t="s">
        <v>60</v>
      </c>
      <c r="E43" s="26" t="s">
        <v>49</v>
      </c>
      <c r="F43" s="266">
        <f>ВСР!G27</f>
        <v>65</v>
      </c>
      <c r="G43" s="266">
        <f>ВСР!H27</f>
        <v>65</v>
      </c>
      <c r="H43" s="266">
        <f>ВСР!I27</f>
        <v>65</v>
      </c>
    </row>
    <row r="44" spans="1:8" ht="18.75" x14ac:dyDescent="0.3">
      <c r="A44" s="86" t="s">
        <v>524</v>
      </c>
      <c r="B44" s="95" t="s">
        <v>192</v>
      </c>
      <c r="C44" s="79" t="s">
        <v>193</v>
      </c>
      <c r="D44" s="116"/>
      <c r="E44" s="26"/>
      <c r="F44" s="266">
        <f>F45+F51+F49+F47+F55</f>
        <v>11303.500000000002</v>
      </c>
      <c r="G44" s="266">
        <f>G45+G51+G49+G47+G55</f>
        <v>10700.3</v>
      </c>
      <c r="H44" s="266">
        <f t="shared" ref="H44" si="15">H45+H51+H49+H47+H55</f>
        <v>11039.8</v>
      </c>
    </row>
    <row r="45" spans="1:8" ht="18.75" x14ac:dyDescent="0.3">
      <c r="A45" s="86" t="s">
        <v>525</v>
      </c>
      <c r="B45" s="91" t="s">
        <v>65</v>
      </c>
      <c r="C45" s="79" t="s">
        <v>194</v>
      </c>
      <c r="D45" s="26" t="str">
        <f>[2]ВСР!E29</f>
        <v>09201 00070</v>
      </c>
      <c r="E45" s="26"/>
      <c r="F45" s="266">
        <f>F46</f>
        <v>396</v>
      </c>
      <c r="G45" s="266" t="str">
        <f t="shared" ref="G45:H45" si="16">G46</f>
        <v>417,4</v>
      </c>
      <c r="H45" s="266">
        <f t="shared" si="16"/>
        <v>440</v>
      </c>
    </row>
    <row r="46" spans="1:8" ht="37.5" x14ac:dyDescent="0.3">
      <c r="A46" s="86"/>
      <c r="B46" s="91" t="s">
        <v>45</v>
      </c>
      <c r="C46" s="79" t="s">
        <v>194</v>
      </c>
      <c r="D46" s="116" t="s">
        <v>66</v>
      </c>
      <c r="E46" s="26" t="s">
        <v>46</v>
      </c>
      <c r="F46" s="266">
        <f>ВСР!G30</f>
        <v>396</v>
      </c>
      <c r="G46" s="266" t="str">
        <f>ВСР!H30</f>
        <v>417,4</v>
      </c>
      <c r="H46" s="266">
        <f>ВСР!I30</f>
        <v>440</v>
      </c>
    </row>
    <row r="47" spans="1:8" s="73" customFormat="1" ht="18.75" x14ac:dyDescent="0.3">
      <c r="A47" s="139" t="s">
        <v>526</v>
      </c>
      <c r="B47" s="31" t="s">
        <v>273</v>
      </c>
      <c r="C47" s="26" t="s">
        <v>194</v>
      </c>
      <c r="D47" s="26" t="s">
        <v>274</v>
      </c>
      <c r="E47" s="26"/>
      <c r="F47" s="266">
        <f>F48</f>
        <v>125.39999999999999</v>
      </c>
      <c r="G47" s="266">
        <f t="shared" ref="G47:H47" si="17">G48</f>
        <v>132.39999999999998</v>
      </c>
      <c r="H47" s="266">
        <f t="shared" si="17"/>
        <v>139.29999999999998</v>
      </c>
    </row>
    <row r="48" spans="1:8" s="73" customFormat="1" ht="37.5" x14ac:dyDescent="0.3">
      <c r="A48" s="139"/>
      <c r="B48" s="45" t="s">
        <v>45</v>
      </c>
      <c r="C48" s="26" t="s">
        <v>194</v>
      </c>
      <c r="D48" s="26" t="s">
        <v>274</v>
      </c>
      <c r="E48" s="26" t="s">
        <v>46</v>
      </c>
      <c r="F48" s="266">
        <f>ВСР!G31+ВСР!G125</f>
        <v>125.39999999999999</v>
      </c>
      <c r="G48" s="266">
        <f>ВСР!H31+ВСР!H125</f>
        <v>132.39999999999998</v>
      </c>
      <c r="H48" s="266">
        <f>ВСР!I31+ВСР!I125</f>
        <v>139.29999999999998</v>
      </c>
    </row>
    <row r="49" spans="1:8" ht="56.25" x14ac:dyDescent="0.3">
      <c r="A49" s="86" t="s">
        <v>527</v>
      </c>
      <c r="B49" s="96" t="s">
        <v>251</v>
      </c>
      <c r="C49" s="82" t="s">
        <v>194</v>
      </c>
      <c r="D49" s="23" t="str">
        <f>[2]ВСР!E127</f>
        <v>09205 00440</v>
      </c>
      <c r="E49" s="23"/>
      <c r="F49" s="265">
        <f>F50</f>
        <v>84</v>
      </c>
      <c r="G49" s="265">
        <f t="shared" ref="G49:H49" si="18">G50</f>
        <v>84</v>
      </c>
      <c r="H49" s="265">
        <f t="shared" si="18"/>
        <v>84</v>
      </c>
    </row>
    <row r="50" spans="1:8" ht="18.75" x14ac:dyDescent="0.3">
      <c r="A50" s="86"/>
      <c r="B50" s="89" t="s">
        <v>48</v>
      </c>
      <c r="C50" s="82" t="s">
        <v>194</v>
      </c>
      <c r="D50" s="117" t="s">
        <v>164</v>
      </c>
      <c r="E50" s="23" t="s">
        <v>49</v>
      </c>
      <c r="F50" s="266">
        <f>ВСР!G128</f>
        <v>84</v>
      </c>
      <c r="G50" s="266">
        <f>ВСР!H128</f>
        <v>84</v>
      </c>
      <c r="H50" s="266">
        <f>ВСР!I128</f>
        <v>84</v>
      </c>
    </row>
    <row r="51" spans="1:8" ht="75" x14ac:dyDescent="0.3">
      <c r="A51" s="86" t="s">
        <v>528</v>
      </c>
      <c r="B51" s="97" t="s">
        <v>69</v>
      </c>
      <c r="C51" s="79" t="s">
        <v>194</v>
      </c>
      <c r="D51" s="44" t="str">
        <f>[2]ВСР!E32</f>
        <v>09201 00460</v>
      </c>
      <c r="E51" s="26"/>
      <c r="F51" s="266">
        <f>F52+F53+F54</f>
        <v>10678.100000000002</v>
      </c>
      <c r="G51" s="266">
        <f t="shared" ref="G51:H51" si="19">G52+G53+G54</f>
        <v>10045.5</v>
      </c>
      <c r="H51" s="266">
        <f t="shared" si="19"/>
        <v>10354.4</v>
      </c>
    </row>
    <row r="52" spans="1:8" ht="71.25" customHeight="1" x14ac:dyDescent="0.3">
      <c r="A52" s="86"/>
      <c r="B52" s="97" t="s">
        <v>38</v>
      </c>
      <c r="C52" s="79" t="s">
        <v>194</v>
      </c>
      <c r="D52" s="118" t="s">
        <v>70</v>
      </c>
      <c r="E52" s="26" t="s">
        <v>39</v>
      </c>
      <c r="F52" s="266">
        <f>ВСР!G34</f>
        <v>10552.900000000001</v>
      </c>
      <c r="G52" s="266">
        <f>ВСР!H34</f>
        <v>9920.6</v>
      </c>
      <c r="H52" s="266">
        <f>ВСР!I34</f>
        <v>10225.4</v>
      </c>
    </row>
    <row r="53" spans="1:8" ht="37.5" x14ac:dyDescent="0.3">
      <c r="A53" s="86"/>
      <c r="B53" s="91" t="s">
        <v>45</v>
      </c>
      <c r="C53" s="79" t="s">
        <v>194</v>
      </c>
      <c r="D53" s="118" t="s">
        <v>70</v>
      </c>
      <c r="E53" s="26" t="s">
        <v>46</v>
      </c>
      <c r="F53" s="266">
        <f>ВСР!G35</f>
        <v>125.10000000000001</v>
      </c>
      <c r="G53" s="266">
        <f>ВСР!H35</f>
        <v>124.8</v>
      </c>
      <c r="H53" s="266">
        <f>ВСР!I35</f>
        <v>128.89999999999998</v>
      </c>
    </row>
    <row r="54" spans="1:8" ht="18.75" x14ac:dyDescent="0.3">
      <c r="A54" s="86"/>
      <c r="B54" s="89" t="s">
        <v>48</v>
      </c>
      <c r="C54" s="79" t="s">
        <v>194</v>
      </c>
      <c r="D54" s="118" t="s">
        <v>70</v>
      </c>
      <c r="E54" s="26" t="s">
        <v>49</v>
      </c>
      <c r="F54" s="266">
        <v>0.1</v>
      </c>
      <c r="G54" s="266">
        <v>0.1</v>
      </c>
      <c r="H54" s="266">
        <v>0.1</v>
      </c>
    </row>
    <row r="55" spans="1:8" ht="56.25" x14ac:dyDescent="0.3">
      <c r="A55" s="86" t="s">
        <v>529</v>
      </c>
      <c r="B55" s="282" t="s">
        <v>489</v>
      </c>
      <c r="C55" s="26" t="s">
        <v>63</v>
      </c>
      <c r="D55" s="44" t="s">
        <v>490</v>
      </c>
      <c r="E55" s="26"/>
      <c r="F55" s="27">
        <f>F56</f>
        <v>20</v>
      </c>
      <c r="G55" s="27">
        <f t="shared" ref="G55:H55" si="20">G56</f>
        <v>21</v>
      </c>
      <c r="H55" s="27">
        <f t="shared" si="20"/>
        <v>22.1</v>
      </c>
    </row>
    <row r="56" spans="1:8" ht="37.5" x14ac:dyDescent="0.3">
      <c r="A56" s="26"/>
      <c r="B56" s="31" t="s">
        <v>45</v>
      </c>
      <c r="C56" s="26" t="s">
        <v>63</v>
      </c>
      <c r="D56" s="44" t="s">
        <v>490</v>
      </c>
      <c r="E56" s="26" t="s">
        <v>46</v>
      </c>
      <c r="F56" s="27">
        <f>ВСР!G38</f>
        <v>20</v>
      </c>
      <c r="G56" s="27">
        <f>ВСР!H38</f>
        <v>21</v>
      </c>
      <c r="H56" s="27">
        <f>ВСР!I38</f>
        <v>22.1</v>
      </c>
    </row>
    <row r="57" spans="1:8" ht="37.5" x14ac:dyDescent="0.3">
      <c r="A57" s="99" t="s">
        <v>14</v>
      </c>
      <c r="B57" s="100" t="s">
        <v>78</v>
      </c>
      <c r="C57" s="76" t="s">
        <v>183</v>
      </c>
      <c r="D57" s="115"/>
      <c r="E57" s="36"/>
      <c r="F57" s="264">
        <f>F58</f>
        <v>120.1</v>
      </c>
      <c r="G57" s="264">
        <f t="shared" ref="G57:H59" si="21">G58</f>
        <v>87.8</v>
      </c>
      <c r="H57" s="264">
        <f t="shared" si="21"/>
        <v>96</v>
      </c>
    </row>
    <row r="58" spans="1:8" ht="36" customHeight="1" x14ac:dyDescent="0.3">
      <c r="A58" s="86" t="s">
        <v>12</v>
      </c>
      <c r="B58" s="98" t="s">
        <v>80</v>
      </c>
      <c r="C58" s="79" t="s">
        <v>196</v>
      </c>
      <c r="D58" s="116"/>
      <c r="E58" s="26"/>
      <c r="F58" s="266">
        <f>F59</f>
        <v>120.1</v>
      </c>
      <c r="G58" s="266">
        <f t="shared" si="21"/>
        <v>87.8</v>
      </c>
      <c r="H58" s="266">
        <f t="shared" si="21"/>
        <v>96</v>
      </c>
    </row>
    <row r="59" spans="1:8" ht="126.75" customHeight="1" x14ac:dyDescent="0.3">
      <c r="A59" s="86" t="s">
        <v>15</v>
      </c>
      <c r="B59" s="101" t="s">
        <v>82</v>
      </c>
      <c r="C59" s="79" t="s">
        <v>197</v>
      </c>
      <c r="D59" s="26" t="str">
        <f>[2]ВСР!E43</f>
        <v>21900 00090</v>
      </c>
      <c r="E59" s="26"/>
      <c r="F59" s="266">
        <f>F60</f>
        <v>120.1</v>
      </c>
      <c r="G59" s="266">
        <f t="shared" si="21"/>
        <v>87.8</v>
      </c>
      <c r="H59" s="266">
        <f t="shared" si="21"/>
        <v>96</v>
      </c>
    </row>
    <row r="60" spans="1:8" ht="37.5" x14ac:dyDescent="0.3">
      <c r="A60" s="86"/>
      <c r="B60" s="91" t="s">
        <v>45</v>
      </c>
      <c r="C60" s="79" t="s">
        <v>197</v>
      </c>
      <c r="D60" s="116" t="s">
        <v>83</v>
      </c>
      <c r="E60" s="26" t="s">
        <v>46</v>
      </c>
      <c r="F60" s="266">
        <f>ВСР!G42</f>
        <v>120.1</v>
      </c>
      <c r="G60" s="266">
        <f>ВСР!H42</f>
        <v>87.8</v>
      </c>
      <c r="H60" s="266">
        <f>ВСР!I42</f>
        <v>96</v>
      </c>
    </row>
    <row r="61" spans="1:8" ht="18.75" x14ac:dyDescent="0.3">
      <c r="A61" s="99" t="s">
        <v>24</v>
      </c>
      <c r="B61" s="100" t="s">
        <v>84</v>
      </c>
      <c r="C61" s="76" t="s">
        <v>187</v>
      </c>
      <c r="D61" s="115"/>
      <c r="E61" s="36"/>
      <c r="F61" s="264">
        <f>F62</f>
        <v>20</v>
      </c>
      <c r="G61" s="264">
        <f t="shared" ref="G61:H63" si="22">G62</f>
        <v>21.2</v>
      </c>
      <c r="H61" s="264">
        <f t="shared" si="22"/>
        <v>22.2</v>
      </c>
    </row>
    <row r="62" spans="1:8" ht="18.75" x14ac:dyDescent="0.3">
      <c r="A62" s="86" t="s">
        <v>198</v>
      </c>
      <c r="B62" s="102" t="s">
        <v>86</v>
      </c>
      <c r="C62" s="79" t="s">
        <v>199</v>
      </c>
      <c r="D62" s="118"/>
      <c r="E62" s="26"/>
      <c r="F62" s="266">
        <f>F63+F65</f>
        <v>20</v>
      </c>
      <c r="G62" s="266">
        <f t="shared" ref="G62:H62" si="23">G63+G65</f>
        <v>21.2</v>
      </c>
      <c r="H62" s="266">
        <f t="shared" si="23"/>
        <v>22.2</v>
      </c>
    </row>
    <row r="63" spans="1:8" ht="56.25" x14ac:dyDescent="0.3">
      <c r="A63" s="86" t="s">
        <v>200</v>
      </c>
      <c r="B63" s="103" t="s">
        <v>285</v>
      </c>
      <c r="C63" s="79" t="s">
        <v>201</v>
      </c>
      <c r="D63" s="44" t="str">
        <f>[2]ВСР!E51</f>
        <v>34500 00100</v>
      </c>
      <c r="E63" s="26"/>
      <c r="F63" s="266">
        <f>F64</f>
        <v>10</v>
      </c>
      <c r="G63" s="266" t="str">
        <f t="shared" si="22"/>
        <v>10,6</v>
      </c>
      <c r="H63" s="266">
        <f t="shared" si="22"/>
        <v>11.1</v>
      </c>
    </row>
    <row r="64" spans="1:8" ht="37.5" x14ac:dyDescent="0.3">
      <c r="A64" s="86"/>
      <c r="B64" s="25" t="s">
        <v>45</v>
      </c>
      <c r="C64" s="79" t="s">
        <v>201</v>
      </c>
      <c r="D64" s="118" t="s">
        <v>88</v>
      </c>
      <c r="E64" s="26" t="s">
        <v>46</v>
      </c>
      <c r="F64" s="265">
        <f>ВСР!G46</f>
        <v>10</v>
      </c>
      <c r="G64" s="265" t="str">
        <f>ВСР!H46</f>
        <v>10,6</v>
      </c>
      <c r="H64" s="265">
        <f>ВСР!I46</f>
        <v>11.1</v>
      </c>
    </row>
    <row r="65" spans="1:8" s="73" customFormat="1" ht="59.25" customHeight="1" x14ac:dyDescent="0.3">
      <c r="A65" s="139" t="s">
        <v>488</v>
      </c>
      <c r="B65" s="50" t="s">
        <v>486</v>
      </c>
      <c r="C65" s="26" t="s">
        <v>201</v>
      </c>
      <c r="D65" s="281">
        <v>3450100101</v>
      </c>
      <c r="E65" s="26"/>
      <c r="F65" s="265">
        <f>F66</f>
        <v>10</v>
      </c>
      <c r="G65" s="265" t="str">
        <f t="shared" ref="G65:H65" si="24">G66</f>
        <v>10,6</v>
      </c>
      <c r="H65" s="265">
        <f t="shared" si="24"/>
        <v>11.1</v>
      </c>
    </row>
    <row r="66" spans="1:8" s="73" customFormat="1" ht="37.5" x14ac:dyDescent="0.3">
      <c r="A66" s="139"/>
      <c r="B66" s="25" t="s">
        <v>45</v>
      </c>
      <c r="C66" s="26" t="s">
        <v>201</v>
      </c>
      <c r="D66" s="281">
        <v>3450100101</v>
      </c>
      <c r="E66" s="26" t="s">
        <v>46</v>
      </c>
      <c r="F66" s="265">
        <f>ВСР!G48</f>
        <v>10</v>
      </c>
      <c r="G66" s="265" t="str">
        <f>ВСР!H48</f>
        <v>10,6</v>
      </c>
      <c r="H66" s="265">
        <f>ВСР!I48</f>
        <v>11.1</v>
      </c>
    </row>
    <row r="67" spans="1:8" ht="23.1" customHeight="1" x14ac:dyDescent="0.3">
      <c r="A67" s="99" t="s">
        <v>25</v>
      </c>
      <c r="B67" s="104" t="s">
        <v>89</v>
      </c>
      <c r="C67" s="76" t="s">
        <v>202</v>
      </c>
      <c r="D67" s="119"/>
      <c r="E67" s="36"/>
      <c r="F67" s="267">
        <f>F68</f>
        <v>19487.800000000003</v>
      </c>
      <c r="G67" s="267">
        <f t="shared" ref="G67:H67" si="25">G68</f>
        <v>16971.800000000003</v>
      </c>
      <c r="H67" s="267">
        <f t="shared" si="25"/>
        <v>22851.3</v>
      </c>
    </row>
    <row r="68" spans="1:8" ht="18.75" x14ac:dyDescent="0.3">
      <c r="A68" s="86" t="s">
        <v>203</v>
      </c>
      <c r="B68" s="93" t="s">
        <v>91</v>
      </c>
      <c r="C68" s="79" t="s">
        <v>204</v>
      </c>
      <c r="D68" s="118"/>
      <c r="E68" s="26"/>
      <c r="F68" s="265">
        <f>F69+F71+F73+F75+F77+F79+F81+F83</f>
        <v>19487.800000000003</v>
      </c>
      <c r="G68" s="265">
        <f t="shared" ref="G68:H68" si="26">G69+G71+G73+G75+G77+G79+G81+G83</f>
        <v>16971.800000000003</v>
      </c>
      <c r="H68" s="265">
        <f t="shared" si="26"/>
        <v>22851.3</v>
      </c>
    </row>
    <row r="69" spans="1:8" ht="37.5" x14ac:dyDescent="0.3">
      <c r="A69" s="86" t="s">
        <v>277</v>
      </c>
      <c r="B69" s="84" t="s">
        <v>93</v>
      </c>
      <c r="C69" s="79" t="s">
        <v>205</v>
      </c>
      <c r="D69" s="44" t="str">
        <f>[2]ВСР!E56</f>
        <v>60001 00132</v>
      </c>
      <c r="E69" s="26"/>
      <c r="F69" s="265">
        <f>F70</f>
        <v>350.1</v>
      </c>
      <c r="G69" s="265">
        <f t="shared" ref="G69:H69" si="27">G70</f>
        <v>340.7</v>
      </c>
      <c r="H69" s="265">
        <f t="shared" si="27"/>
        <v>334.3</v>
      </c>
    </row>
    <row r="70" spans="1:8" ht="37.5" x14ac:dyDescent="0.3">
      <c r="A70" s="86"/>
      <c r="B70" s="25" t="s">
        <v>45</v>
      </c>
      <c r="C70" s="79" t="s">
        <v>205</v>
      </c>
      <c r="D70" s="44" t="str">
        <f>[2]ВСР!E57</f>
        <v>60001 00132</v>
      </c>
      <c r="E70" s="26" t="s">
        <v>46</v>
      </c>
      <c r="F70" s="265">
        <f>ВСР!G52</f>
        <v>350.1</v>
      </c>
      <c r="G70" s="265">
        <f>ВСР!H52</f>
        <v>340.7</v>
      </c>
      <c r="H70" s="265">
        <f>ВСР!I52</f>
        <v>334.3</v>
      </c>
    </row>
    <row r="71" spans="1:8" ht="76.5" customHeight="1" x14ac:dyDescent="0.3">
      <c r="A71" s="86" t="s">
        <v>278</v>
      </c>
      <c r="B71" s="84" t="s">
        <v>95</v>
      </c>
      <c r="C71" s="79" t="s">
        <v>205</v>
      </c>
      <c r="D71" s="44" t="s">
        <v>246</v>
      </c>
      <c r="E71" s="26"/>
      <c r="F71" s="265">
        <f>F72</f>
        <v>250</v>
      </c>
      <c r="G71" s="265">
        <f t="shared" ref="G71:H71" si="28">G72</f>
        <v>179.60000000000002</v>
      </c>
      <c r="H71" s="265">
        <f t="shared" si="28"/>
        <v>189.10000000000002</v>
      </c>
    </row>
    <row r="72" spans="1:8" ht="37.5" x14ac:dyDescent="0.3">
      <c r="A72" s="86"/>
      <c r="B72" s="84" t="s">
        <v>45</v>
      </c>
      <c r="C72" s="79" t="s">
        <v>205</v>
      </c>
      <c r="D72" s="44" t="s">
        <v>246</v>
      </c>
      <c r="E72" s="26" t="s">
        <v>46</v>
      </c>
      <c r="F72" s="265">
        <f>ВСР!G54</f>
        <v>250</v>
      </c>
      <c r="G72" s="265">
        <f>ВСР!H54</f>
        <v>179.60000000000002</v>
      </c>
      <c r="H72" s="265">
        <f>ВСР!I54</f>
        <v>189.10000000000002</v>
      </c>
    </row>
    <row r="73" spans="1:8" ht="37.5" x14ac:dyDescent="0.3">
      <c r="A73" s="86" t="s">
        <v>279</v>
      </c>
      <c r="B73" s="84" t="s">
        <v>96</v>
      </c>
      <c r="C73" s="79" t="s">
        <v>205</v>
      </c>
      <c r="D73" s="44" t="str">
        <f>[2]ВСР!E63</f>
        <v>60003 00151</v>
      </c>
      <c r="E73" s="26"/>
      <c r="F73" s="265">
        <f>F74</f>
        <v>4582.5999999999995</v>
      </c>
      <c r="G73" s="265">
        <f t="shared" ref="G73:H73" si="29">G74</f>
        <v>955.70000000000027</v>
      </c>
      <c r="H73" s="265">
        <f t="shared" si="29"/>
        <v>1006.4000000000005</v>
      </c>
    </row>
    <row r="74" spans="1:8" ht="37.5" x14ac:dyDescent="0.3">
      <c r="A74" s="86"/>
      <c r="B74" s="84" t="s">
        <v>45</v>
      </c>
      <c r="C74" s="79" t="s">
        <v>205</v>
      </c>
      <c r="D74" s="118" t="s">
        <v>97</v>
      </c>
      <c r="E74" s="26" t="s">
        <v>46</v>
      </c>
      <c r="F74" s="265">
        <f>ВСР!G56</f>
        <v>4582.5999999999995</v>
      </c>
      <c r="G74" s="265">
        <f>ВСР!H56</f>
        <v>955.70000000000027</v>
      </c>
      <c r="H74" s="265">
        <f>ВСР!I56</f>
        <v>1006.4000000000005</v>
      </c>
    </row>
    <row r="75" spans="1:8" ht="37.5" x14ac:dyDescent="0.3">
      <c r="A75" s="86" t="s">
        <v>280</v>
      </c>
      <c r="B75" s="84" t="s">
        <v>98</v>
      </c>
      <c r="C75" s="79" t="s">
        <v>205</v>
      </c>
      <c r="D75" s="44" t="s">
        <v>247</v>
      </c>
      <c r="E75" s="26"/>
      <c r="F75" s="265">
        <f>F76</f>
        <v>250</v>
      </c>
      <c r="G75" s="265">
        <f t="shared" ref="G75:H75" si="30">G76</f>
        <v>75.3</v>
      </c>
      <c r="H75" s="265">
        <f t="shared" si="30"/>
        <v>95.2</v>
      </c>
    </row>
    <row r="76" spans="1:8" ht="37.5" x14ac:dyDescent="0.3">
      <c r="A76" s="86"/>
      <c r="B76" s="84" t="s">
        <v>45</v>
      </c>
      <c r="C76" s="79" t="s">
        <v>205</v>
      </c>
      <c r="D76" s="44" t="s">
        <v>247</v>
      </c>
      <c r="E76" s="26" t="s">
        <v>46</v>
      </c>
      <c r="F76" s="265">
        <f>ВСР!G58</f>
        <v>250</v>
      </c>
      <c r="G76" s="265">
        <f>ВСР!H58</f>
        <v>75.3</v>
      </c>
      <c r="H76" s="265">
        <f>ВСР!I58</f>
        <v>95.2</v>
      </c>
    </row>
    <row r="77" spans="1:8" ht="75" x14ac:dyDescent="0.3">
      <c r="A77" s="86" t="s">
        <v>281</v>
      </c>
      <c r="B77" s="84" t="s">
        <v>99</v>
      </c>
      <c r="C77" s="79" t="s">
        <v>205</v>
      </c>
      <c r="D77" s="44" t="s">
        <v>248</v>
      </c>
      <c r="E77" s="26"/>
      <c r="F77" s="265">
        <f>F78</f>
        <v>579.79999999999995</v>
      </c>
      <c r="G77" s="265">
        <f t="shared" ref="G77:H77" si="31">G78</f>
        <v>806.5</v>
      </c>
      <c r="H77" s="265">
        <f t="shared" si="31"/>
        <v>849.3</v>
      </c>
    </row>
    <row r="78" spans="1:8" ht="37.5" x14ac:dyDescent="0.3">
      <c r="A78" s="86"/>
      <c r="B78" s="84" t="s">
        <v>45</v>
      </c>
      <c r="C78" s="79" t="s">
        <v>205</v>
      </c>
      <c r="D78" s="44" t="s">
        <v>248</v>
      </c>
      <c r="E78" s="26" t="s">
        <v>46</v>
      </c>
      <c r="F78" s="265">
        <f>ВСР!G60</f>
        <v>579.79999999999995</v>
      </c>
      <c r="G78" s="265">
        <f>ВСР!H60</f>
        <v>806.5</v>
      </c>
      <c r="H78" s="265">
        <f>ВСР!I60</f>
        <v>849.3</v>
      </c>
    </row>
    <row r="79" spans="1:8" ht="37.5" x14ac:dyDescent="0.3">
      <c r="A79" s="86" t="s">
        <v>282</v>
      </c>
      <c r="B79" s="84" t="s">
        <v>100</v>
      </c>
      <c r="C79" s="79" t="s">
        <v>205</v>
      </c>
      <c r="D79" s="44" t="s">
        <v>249</v>
      </c>
      <c r="E79" s="26"/>
      <c r="F79" s="265">
        <f>F80</f>
        <v>3843.1</v>
      </c>
      <c r="G79" s="265">
        <f t="shared" ref="G79:H79" si="32">G80</f>
        <v>3934.9</v>
      </c>
      <c r="H79" s="265">
        <f t="shared" si="32"/>
        <v>2736.7</v>
      </c>
    </row>
    <row r="80" spans="1:8" ht="37.5" x14ac:dyDescent="0.3">
      <c r="A80" s="86"/>
      <c r="B80" s="84" t="s">
        <v>45</v>
      </c>
      <c r="C80" s="79" t="s">
        <v>205</v>
      </c>
      <c r="D80" s="44" t="s">
        <v>249</v>
      </c>
      <c r="E80" s="26" t="s">
        <v>46</v>
      </c>
      <c r="F80" s="265">
        <f>ВСР!G62</f>
        <v>3843.1</v>
      </c>
      <c r="G80" s="265">
        <f>ВСР!H62</f>
        <v>3934.9</v>
      </c>
      <c r="H80" s="265">
        <f>ВСР!I62</f>
        <v>2736.7</v>
      </c>
    </row>
    <row r="81" spans="1:8" ht="56.25" x14ac:dyDescent="0.3">
      <c r="A81" s="86" t="s">
        <v>283</v>
      </c>
      <c r="B81" s="93" t="s">
        <v>101</v>
      </c>
      <c r="C81" s="79" t="s">
        <v>205</v>
      </c>
      <c r="D81" s="44" t="s">
        <v>102</v>
      </c>
      <c r="E81" s="26"/>
      <c r="F81" s="265">
        <f>F82</f>
        <v>9632.2000000000007</v>
      </c>
      <c r="G81" s="265">
        <f t="shared" ref="G81:H81" si="33">G82</f>
        <v>9005.8000000000011</v>
      </c>
      <c r="H81" s="265">
        <f t="shared" si="33"/>
        <v>13755.6</v>
      </c>
    </row>
    <row r="82" spans="1:8" ht="37.5" x14ac:dyDescent="0.3">
      <c r="A82" s="86"/>
      <c r="B82" s="84" t="s">
        <v>45</v>
      </c>
      <c r="C82" s="79" t="s">
        <v>205</v>
      </c>
      <c r="D82" s="44" t="s">
        <v>102</v>
      </c>
      <c r="E82" s="26" t="s">
        <v>46</v>
      </c>
      <c r="F82" s="265">
        <f>ВСР!G64</f>
        <v>9632.2000000000007</v>
      </c>
      <c r="G82" s="265">
        <f>ВСР!H64</f>
        <v>9005.8000000000011</v>
      </c>
      <c r="H82" s="265">
        <f>ВСР!I64</f>
        <v>13755.6</v>
      </c>
    </row>
    <row r="83" spans="1:8" ht="18.75" x14ac:dyDescent="0.3">
      <c r="A83" s="86" t="s">
        <v>515</v>
      </c>
      <c r="B83" s="84" t="s">
        <v>514</v>
      </c>
      <c r="C83" s="79" t="s">
        <v>205</v>
      </c>
      <c r="D83" s="44" t="s">
        <v>518</v>
      </c>
      <c r="E83" s="26"/>
      <c r="F83" s="265">
        <f>F84</f>
        <v>0</v>
      </c>
      <c r="G83" s="265">
        <f t="shared" ref="G83:H83" si="34">G84</f>
        <v>1673.3</v>
      </c>
      <c r="H83" s="265">
        <f t="shared" si="34"/>
        <v>3884.7</v>
      </c>
    </row>
    <row r="84" spans="1:8" ht="18.75" x14ac:dyDescent="0.3">
      <c r="A84" s="86"/>
      <c r="B84" s="84" t="s">
        <v>48</v>
      </c>
      <c r="C84" s="79" t="s">
        <v>205</v>
      </c>
      <c r="D84" s="44" t="s">
        <v>518</v>
      </c>
      <c r="E84" s="26" t="s">
        <v>49</v>
      </c>
      <c r="F84" s="265">
        <f>ВСР!G66</f>
        <v>0</v>
      </c>
      <c r="G84" s="265">
        <f>ВСР!H66</f>
        <v>1673.3</v>
      </c>
      <c r="H84" s="265">
        <f>ВСР!I66</f>
        <v>3884.7</v>
      </c>
    </row>
    <row r="85" spans="1:8" ht="18.75" x14ac:dyDescent="0.3">
      <c r="A85" s="99" t="s">
        <v>26</v>
      </c>
      <c r="B85" s="105" t="s">
        <v>103</v>
      </c>
      <c r="C85" s="76" t="s">
        <v>206</v>
      </c>
      <c r="D85" s="119"/>
      <c r="E85" s="36"/>
      <c r="F85" s="267">
        <f>F87</f>
        <v>30</v>
      </c>
      <c r="G85" s="267" t="str">
        <f t="shared" ref="G85:H85" si="35">G87</f>
        <v>24,6</v>
      </c>
      <c r="H85" s="267">
        <f t="shared" si="35"/>
        <v>29.2</v>
      </c>
    </row>
    <row r="86" spans="1:8" ht="18.75" x14ac:dyDescent="0.3">
      <c r="A86" s="86" t="s">
        <v>207</v>
      </c>
      <c r="B86" s="84" t="s">
        <v>105</v>
      </c>
      <c r="C86" s="79" t="s">
        <v>202</v>
      </c>
      <c r="D86" s="118"/>
      <c r="E86" s="26"/>
      <c r="F86" s="265">
        <f>F87</f>
        <v>30</v>
      </c>
      <c r="G86" s="265" t="str">
        <f t="shared" ref="G86:H87" si="36">G87</f>
        <v>24,6</v>
      </c>
      <c r="H86" s="265">
        <f t="shared" si="36"/>
        <v>29.2</v>
      </c>
    </row>
    <row r="87" spans="1:8" ht="57.75" customHeight="1" x14ac:dyDescent="0.3">
      <c r="A87" s="86" t="s">
        <v>208</v>
      </c>
      <c r="B87" s="84" t="s">
        <v>107</v>
      </c>
      <c r="C87" s="79" t="s">
        <v>209</v>
      </c>
      <c r="D87" s="44" t="str">
        <f>[2]ВСР!E79</f>
        <v>41000 00170</v>
      </c>
      <c r="E87" s="26"/>
      <c r="F87" s="265">
        <f>F88</f>
        <v>30</v>
      </c>
      <c r="G87" s="265" t="str">
        <f t="shared" si="36"/>
        <v>24,6</v>
      </c>
      <c r="H87" s="265">
        <f t="shared" si="36"/>
        <v>29.2</v>
      </c>
    </row>
    <row r="88" spans="1:8" ht="37.5" x14ac:dyDescent="0.3">
      <c r="A88" s="86"/>
      <c r="B88" s="84" t="s">
        <v>45</v>
      </c>
      <c r="C88" s="79" t="s">
        <v>209</v>
      </c>
      <c r="D88" s="118" t="s">
        <v>108</v>
      </c>
      <c r="E88" s="26" t="s">
        <v>46</v>
      </c>
      <c r="F88" s="265">
        <f>ВСР!G70</f>
        <v>30</v>
      </c>
      <c r="G88" s="265" t="str">
        <f>ВСР!H70</f>
        <v>24,6</v>
      </c>
      <c r="H88" s="265">
        <f>ВСР!I70</f>
        <v>29.2</v>
      </c>
    </row>
    <row r="89" spans="1:8" ht="18.75" x14ac:dyDescent="0.3">
      <c r="A89" s="99" t="s">
        <v>27</v>
      </c>
      <c r="B89" s="105" t="s">
        <v>109</v>
      </c>
      <c r="C89" s="76" t="s">
        <v>210</v>
      </c>
      <c r="D89" s="115"/>
      <c r="E89" s="36"/>
      <c r="F89" s="267">
        <f>F90+F93</f>
        <v>424.9</v>
      </c>
      <c r="G89" s="267">
        <f t="shared" ref="G89:H89" si="37">G90+G93</f>
        <v>440.7</v>
      </c>
      <c r="H89" s="267">
        <f t="shared" si="37"/>
        <v>466.7</v>
      </c>
    </row>
    <row r="90" spans="1:8" ht="38.450000000000003" customHeight="1" x14ac:dyDescent="0.3">
      <c r="A90" s="86" t="s">
        <v>211</v>
      </c>
      <c r="B90" s="106" t="s">
        <v>111</v>
      </c>
      <c r="C90" s="79" t="s">
        <v>202</v>
      </c>
      <c r="D90" s="116"/>
      <c r="E90" s="26"/>
      <c r="F90" s="265">
        <f>F91</f>
        <v>210</v>
      </c>
      <c r="G90" s="265" t="str">
        <f t="shared" ref="G90:H91" si="38">G91</f>
        <v>221,4</v>
      </c>
      <c r="H90" s="265" t="str">
        <f t="shared" si="38"/>
        <v>233,2</v>
      </c>
    </row>
    <row r="91" spans="1:8" ht="90" customHeight="1" x14ac:dyDescent="0.3">
      <c r="A91" s="86"/>
      <c r="B91" s="84" t="s">
        <v>115</v>
      </c>
      <c r="C91" s="79" t="s">
        <v>212</v>
      </c>
      <c r="D91" s="116" t="s">
        <v>114</v>
      </c>
      <c r="E91" s="26"/>
      <c r="F91" s="265">
        <f>F92</f>
        <v>210</v>
      </c>
      <c r="G91" s="265" t="str">
        <f t="shared" si="38"/>
        <v>221,4</v>
      </c>
      <c r="H91" s="265" t="str">
        <f t="shared" si="38"/>
        <v>233,2</v>
      </c>
    </row>
    <row r="92" spans="1:8" ht="37.5" x14ac:dyDescent="0.3">
      <c r="A92" s="86"/>
      <c r="B92" s="84" t="s">
        <v>45</v>
      </c>
      <c r="C92" s="79" t="s">
        <v>212</v>
      </c>
      <c r="D92" s="116" t="s">
        <v>114</v>
      </c>
      <c r="E92" s="26" t="s">
        <v>46</v>
      </c>
      <c r="F92" s="265">
        <f>ВСР!G74</f>
        <v>210</v>
      </c>
      <c r="G92" s="265" t="str">
        <f>ВСР!H74</f>
        <v>221,4</v>
      </c>
      <c r="H92" s="265" t="str">
        <f>ВСР!I74</f>
        <v>233,2</v>
      </c>
    </row>
    <row r="93" spans="1:8" ht="23.45" customHeight="1" x14ac:dyDescent="0.3">
      <c r="A93" s="86" t="s">
        <v>213</v>
      </c>
      <c r="B93" s="84" t="s">
        <v>118</v>
      </c>
      <c r="C93" s="79" t="s">
        <v>215</v>
      </c>
      <c r="D93" s="116"/>
      <c r="E93" s="26"/>
      <c r="F93" s="265">
        <f>F94+F96+F98+F102+F100+F104</f>
        <v>214.9</v>
      </c>
      <c r="G93" s="265">
        <f t="shared" ref="G93:H93" si="39">G94+G96+G98+G102+G100+G104</f>
        <v>219.29999999999998</v>
      </c>
      <c r="H93" s="265">
        <f t="shared" si="39"/>
        <v>233.5</v>
      </c>
    </row>
    <row r="94" spans="1:8" ht="72.95" customHeight="1" x14ac:dyDescent="0.3">
      <c r="A94" s="86" t="s">
        <v>214</v>
      </c>
      <c r="B94" s="84" t="s">
        <v>120</v>
      </c>
      <c r="C94" s="107" t="s">
        <v>216</v>
      </c>
      <c r="D94" s="26" t="str">
        <f>[2]ВСР!E90</f>
        <v>79506 00510</v>
      </c>
      <c r="E94" s="26"/>
      <c r="F94" s="265">
        <f>F95</f>
        <v>10</v>
      </c>
      <c r="G94" s="265" t="str">
        <f t="shared" ref="G94:H94" si="40">G95</f>
        <v>10,6</v>
      </c>
      <c r="H94" s="265">
        <f t="shared" si="40"/>
        <v>11.2</v>
      </c>
    </row>
    <row r="95" spans="1:8" ht="37.5" x14ac:dyDescent="0.3">
      <c r="A95" s="86"/>
      <c r="B95" s="84" t="s">
        <v>45</v>
      </c>
      <c r="C95" s="107" t="s">
        <v>216</v>
      </c>
      <c r="D95" s="26" t="str">
        <f>[2]ВСР!E91</f>
        <v>79506 00510</v>
      </c>
      <c r="E95" s="26" t="s">
        <v>46</v>
      </c>
      <c r="F95" s="265">
        <f>ВСР!G79</f>
        <v>10</v>
      </c>
      <c r="G95" s="265" t="str">
        <f>ВСР!H79</f>
        <v>10,6</v>
      </c>
      <c r="H95" s="265">
        <f>ВСР!I79</f>
        <v>11.2</v>
      </c>
    </row>
    <row r="96" spans="1:8" ht="72.599999999999994" customHeight="1" x14ac:dyDescent="0.3">
      <c r="A96" s="86" t="s">
        <v>476</v>
      </c>
      <c r="B96" s="108" t="s">
        <v>217</v>
      </c>
      <c r="C96" s="79" t="s">
        <v>216</v>
      </c>
      <c r="D96" s="26" t="str">
        <f>[2]ВСР!E92</f>
        <v>79512 00490</v>
      </c>
      <c r="E96" s="26"/>
      <c r="F96" s="265">
        <f>F97</f>
        <v>65</v>
      </c>
      <c r="G96" s="265" t="str">
        <f t="shared" ref="G96:H96" si="41">G97</f>
        <v>53,8</v>
      </c>
      <c r="H96" s="265">
        <f t="shared" si="41"/>
        <v>63.3</v>
      </c>
    </row>
    <row r="97" spans="1:8" ht="38.450000000000003" customHeight="1" x14ac:dyDescent="0.3">
      <c r="A97" s="86"/>
      <c r="B97" s="84" t="s">
        <v>45</v>
      </c>
      <c r="C97" s="107" t="s">
        <v>216</v>
      </c>
      <c r="D97" s="116" t="s">
        <v>123</v>
      </c>
      <c r="E97" s="26" t="s">
        <v>46</v>
      </c>
      <c r="F97" s="265">
        <f>ВСР!G81</f>
        <v>65</v>
      </c>
      <c r="G97" s="265" t="str">
        <f>ВСР!H81</f>
        <v>53,8</v>
      </c>
      <c r="H97" s="265">
        <f>ВСР!I81</f>
        <v>63.3</v>
      </c>
    </row>
    <row r="98" spans="1:8" ht="112.5" customHeight="1" x14ac:dyDescent="0.3">
      <c r="A98" s="86" t="s">
        <v>478</v>
      </c>
      <c r="B98" s="84" t="s">
        <v>245</v>
      </c>
      <c r="C98" s="107" t="s">
        <v>216</v>
      </c>
      <c r="D98" s="26" t="str">
        <f>[2]ВСР!E94</f>
        <v>79514 00530</v>
      </c>
      <c r="E98" s="26"/>
      <c r="F98" s="265">
        <f>F99</f>
        <v>45</v>
      </c>
      <c r="G98" s="265">
        <f t="shared" ref="G98:H98" si="42">G99</f>
        <v>51</v>
      </c>
      <c r="H98" s="265">
        <f t="shared" si="42"/>
        <v>55</v>
      </c>
    </row>
    <row r="99" spans="1:8" ht="38.1" customHeight="1" x14ac:dyDescent="0.3">
      <c r="A99" s="86"/>
      <c r="B99" s="84" t="s">
        <v>45</v>
      </c>
      <c r="C99" s="107" t="s">
        <v>216</v>
      </c>
      <c r="D99" s="116" t="s">
        <v>124</v>
      </c>
      <c r="E99" s="26" t="s">
        <v>46</v>
      </c>
      <c r="F99" s="265">
        <f>ВСР!G83</f>
        <v>45</v>
      </c>
      <c r="G99" s="265">
        <f>ВСР!H83</f>
        <v>51</v>
      </c>
      <c r="H99" s="265">
        <f>ВСР!I83</f>
        <v>55</v>
      </c>
    </row>
    <row r="100" spans="1:8" ht="78.75" customHeight="1" x14ac:dyDescent="0.3">
      <c r="A100" s="86" t="s">
        <v>480</v>
      </c>
      <c r="B100" s="31" t="s">
        <v>116</v>
      </c>
      <c r="C100" s="33" t="s">
        <v>216</v>
      </c>
      <c r="D100" s="26" t="str">
        <f>[2]ВСР!E87</f>
        <v>79505 00190</v>
      </c>
      <c r="E100" s="26"/>
      <c r="F100" s="265">
        <f>F101</f>
        <v>59.9</v>
      </c>
      <c r="G100" s="265" t="str">
        <f>G101</f>
        <v>66,9</v>
      </c>
      <c r="H100" s="265">
        <f>H101</f>
        <v>64.900000000000006</v>
      </c>
    </row>
    <row r="101" spans="1:8" ht="38.1" customHeight="1" x14ac:dyDescent="0.3">
      <c r="A101" s="86"/>
      <c r="B101" s="31" t="s">
        <v>45</v>
      </c>
      <c r="C101" s="33" t="s">
        <v>216</v>
      </c>
      <c r="D101" s="116" t="s">
        <v>117</v>
      </c>
      <c r="E101" s="26" t="s">
        <v>46</v>
      </c>
      <c r="F101" s="265">
        <f>ВСР!G77</f>
        <v>59.9</v>
      </c>
      <c r="G101" s="265" t="str">
        <f>ВСР!H77</f>
        <v>66,9</v>
      </c>
      <c r="H101" s="265">
        <f>ВСР!I77</f>
        <v>64.900000000000006</v>
      </c>
    </row>
    <row r="102" spans="1:8" ht="117.75" customHeight="1" x14ac:dyDescent="0.3">
      <c r="A102" s="86" t="s">
        <v>491</v>
      </c>
      <c r="B102" s="98" t="s">
        <v>195</v>
      </c>
      <c r="C102" s="107" t="s">
        <v>216</v>
      </c>
      <c r="D102" s="26" t="str">
        <f>[2]ВСР!E38</f>
        <v>79508 00520</v>
      </c>
      <c r="E102" s="26"/>
      <c r="F102" s="266">
        <f>F103</f>
        <v>10</v>
      </c>
      <c r="G102" s="266">
        <f>G103</f>
        <v>10.6</v>
      </c>
      <c r="H102" s="266">
        <f>H103</f>
        <v>11.2</v>
      </c>
    </row>
    <row r="103" spans="1:8" ht="38.1" customHeight="1" x14ac:dyDescent="0.3">
      <c r="A103" s="86"/>
      <c r="B103" s="91" t="s">
        <v>45</v>
      </c>
      <c r="C103" s="107" t="s">
        <v>216</v>
      </c>
      <c r="D103" s="116" t="s">
        <v>76</v>
      </c>
      <c r="E103" s="26" t="s">
        <v>46</v>
      </c>
      <c r="F103" s="266">
        <f>ВСР!G85</f>
        <v>10</v>
      </c>
      <c r="G103" s="266">
        <f>ВСР!H85</f>
        <v>10.6</v>
      </c>
      <c r="H103" s="266">
        <f>ВСР!I85</f>
        <v>11.2</v>
      </c>
    </row>
    <row r="104" spans="1:8" ht="165" customHeight="1" x14ac:dyDescent="0.3">
      <c r="A104" s="86" t="s">
        <v>496</v>
      </c>
      <c r="B104" s="31" t="s">
        <v>499</v>
      </c>
      <c r="C104" s="107" t="s">
        <v>216</v>
      </c>
      <c r="D104" s="26" t="s">
        <v>498</v>
      </c>
      <c r="E104" s="26"/>
      <c r="F104" s="266">
        <f>F105</f>
        <v>25</v>
      </c>
      <c r="G104" s="266">
        <f t="shared" ref="G104:H104" si="43">G105</f>
        <v>26.4</v>
      </c>
      <c r="H104" s="266">
        <f t="shared" si="43"/>
        <v>27.9</v>
      </c>
    </row>
    <row r="105" spans="1:8" ht="38.1" customHeight="1" x14ac:dyDescent="0.3">
      <c r="A105" s="86"/>
      <c r="B105" s="91" t="s">
        <v>45</v>
      </c>
      <c r="C105" s="107" t="s">
        <v>216</v>
      </c>
      <c r="D105" s="26" t="s">
        <v>498</v>
      </c>
      <c r="E105" s="26" t="s">
        <v>46</v>
      </c>
      <c r="F105" s="266">
        <f>ВСР!G87</f>
        <v>25</v>
      </c>
      <c r="G105" s="266">
        <f>ВСР!H87</f>
        <v>26.4</v>
      </c>
      <c r="H105" s="266">
        <f>ВСР!I87</f>
        <v>27.9</v>
      </c>
    </row>
    <row r="106" spans="1:8" ht="19.5" customHeight="1" x14ac:dyDescent="0.3">
      <c r="A106" s="99" t="s">
        <v>179</v>
      </c>
      <c r="B106" s="105" t="s">
        <v>125</v>
      </c>
      <c r="C106" s="76" t="s">
        <v>218</v>
      </c>
      <c r="D106" s="115"/>
      <c r="E106" s="36"/>
      <c r="F106" s="267">
        <f>F107+F112</f>
        <v>7896.7000000000007</v>
      </c>
      <c r="G106" s="267">
        <f t="shared" ref="G106:H106" si="44">G107+G112</f>
        <v>8956</v>
      </c>
      <c r="H106" s="267">
        <f t="shared" si="44"/>
        <v>9656.9</v>
      </c>
    </row>
    <row r="107" spans="1:8" ht="21.95" customHeight="1" x14ac:dyDescent="0.3">
      <c r="A107" s="86" t="s">
        <v>219</v>
      </c>
      <c r="B107" s="84" t="s">
        <v>127</v>
      </c>
      <c r="C107" s="79" t="s">
        <v>180</v>
      </c>
      <c r="D107" s="116"/>
      <c r="E107" s="26"/>
      <c r="F107" s="265">
        <f>F108+F110</f>
        <v>6557.8</v>
      </c>
      <c r="G107" s="265">
        <f t="shared" ref="G107:H107" si="45">G108+G110</f>
        <v>7247.2</v>
      </c>
      <c r="H107" s="265">
        <f t="shared" si="45"/>
        <v>8143.3</v>
      </c>
    </row>
    <row r="108" spans="1:8" ht="55.5" customHeight="1" x14ac:dyDescent="0.3">
      <c r="A108" s="86" t="s">
        <v>220</v>
      </c>
      <c r="B108" s="93" t="s">
        <v>221</v>
      </c>
      <c r="C108" s="79" t="s">
        <v>222</v>
      </c>
      <c r="D108" s="26" t="str">
        <f>[2]ВСР!E98</f>
        <v>45011 00200</v>
      </c>
      <c r="E108" s="26"/>
      <c r="F108" s="265">
        <f>F109</f>
        <v>4784.3</v>
      </c>
      <c r="G108" s="265">
        <f t="shared" ref="G108:H108" si="46">G109</f>
        <v>5343.9</v>
      </c>
      <c r="H108" s="265" t="str">
        <f t="shared" si="46"/>
        <v>6122,8</v>
      </c>
    </row>
    <row r="109" spans="1:8" ht="37.5" x14ac:dyDescent="0.3">
      <c r="A109" s="86"/>
      <c r="B109" s="84" t="s">
        <v>45</v>
      </c>
      <c r="C109" s="79" t="s">
        <v>223</v>
      </c>
      <c r="D109" s="116" t="s">
        <v>131</v>
      </c>
      <c r="E109" s="26" t="s">
        <v>46</v>
      </c>
      <c r="F109" s="265">
        <f>ВСР!G91</f>
        <v>4784.3</v>
      </c>
      <c r="G109" s="265">
        <f>ВСР!H91</f>
        <v>5343.9</v>
      </c>
      <c r="H109" s="265" t="str">
        <f>ВСР!I91</f>
        <v>6122,8</v>
      </c>
    </row>
    <row r="110" spans="1:8" ht="75" customHeight="1" x14ac:dyDescent="0.3">
      <c r="A110" s="86" t="s">
        <v>240</v>
      </c>
      <c r="B110" s="84" t="s">
        <v>178</v>
      </c>
      <c r="C110" s="79" t="s">
        <v>222</v>
      </c>
      <c r="D110" s="26" t="s">
        <v>250</v>
      </c>
      <c r="E110" s="26"/>
      <c r="F110" s="265">
        <f>F111</f>
        <v>1773.5</v>
      </c>
      <c r="G110" s="265">
        <f t="shared" ref="G110:H110" si="47">G111</f>
        <v>1903.3</v>
      </c>
      <c r="H110" s="265">
        <f t="shared" si="47"/>
        <v>2020.5</v>
      </c>
    </row>
    <row r="111" spans="1:8" ht="37.5" x14ac:dyDescent="0.3">
      <c r="A111" s="86"/>
      <c r="B111" s="84" t="s">
        <v>45</v>
      </c>
      <c r="C111" s="79" t="s">
        <v>223</v>
      </c>
      <c r="D111" s="26" t="s">
        <v>250</v>
      </c>
      <c r="E111" s="26" t="s">
        <v>46</v>
      </c>
      <c r="F111" s="265">
        <f>ВСР!G93</f>
        <v>1773.5</v>
      </c>
      <c r="G111" s="265">
        <f>ВСР!H93</f>
        <v>1903.3</v>
      </c>
      <c r="H111" s="265">
        <f>ВСР!I93</f>
        <v>2020.5</v>
      </c>
    </row>
    <row r="112" spans="1:8" ht="37.5" x14ac:dyDescent="0.3">
      <c r="A112" s="86" t="s">
        <v>224</v>
      </c>
      <c r="B112" s="84" t="s">
        <v>132</v>
      </c>
      <c r="C112" s="79" t="s">
        <v>187</v>
      </c>
      <c r="D112" s="116"/>
      <c r="E112" s="26"/>
      <c r="F112" s="265">
        <f>F113</f>
        <v>1338.9</v>
      </c>
      <c r="G112" s="265" t="str">
        <f t="shared" ref="G112:H113" si="48">G113</f>
        <v>1708,8</v>
      </c>
      <c r="H112" s="265" t="str">
        <f t="shared" si="48"/>
        <v>1513,6</v>
      </c>
    </row>
    <row r="113" spans="1:8" ht="53.25" customHeight="1" x14ac:dyDescent="0.3">
      <c r="A113" s="86" t="s">
        <v>225</v>
      </c>
      <c r="B113" s="84" t="s">
        <v>226</v>
      </c>
      <c r="C113" s="79" t="s">
        <v>133</v>
      </c>
      <c r="D113" s="26" t="str">
        <f>[2]ВСР!E101</f>
        <v>45009 00560</v>
      </c>
      <c r="E113" s="26"/>
      <c r="F113" s="265">
        <f>F114</f>
        <v>1338.9</v>
      </c>
      <c r="G113" s="265" t="str">
        <f t="shared" si="48"/>
        <v>1708,8</v>
      </c>
      <c r="H113" s="265" t="str">
        <f t="shared" si="48"/>
        <v>1513,6</v>
      </c>
    </row>
    <row r="114" spans="1:8" ht="37.5" x14ac:dyDescent="0.3">
      <c r="A114" s="86"/>
      <c r="B114" s="84" t="s">
        <v>45</v>
      </c>
      <c r="C114" s="79" t="s">
        <v>133</v>
      </c>
      <c r="D114" s="116" t="s">
        <v>135</v>
      </c>
      <c r="E114" s="26" t="s">
        <v>46</v>
      </c>
      <c r="F114" s="265">
        <f>ВСР!G96</f>
        <v>1338.9</v>
      </c>
      <c r="G114" s="265" t="str">
        <f>ВСР!H96</f>
        <v>1708,8</v>
      </c>
      <c r="H114" s="265" t="str">
        <f>ВСР!I96</f>
        <v>1513,6</v>
      </c>
    </row>
    <row r="115" spans="1:8" ht="18.75" x14ac:dyDescent="0.3">
      <c r="A115" s="99" t="s">
        <v>227</v>
      </c>
      <c r="B115" s="109" t="s">
        <v>136</v>
      </c>
      <c r="C115" s="76" t="s">
        <v>228</v>
      </c>
      <c r="D115" s="115"/>
      <c r="E115" s="36"/>
      <c r="F115" s="267">
        <f>F119+F116</f>
        <v>7113.2</v>
      </c>
      <c r="G115" s="267">
        <f t="shared" ref="G115:H115" si="49">G119+G116</f>
        <v>7467.5999999999995</v>
      </c>
      <c r="H115" s="267">
        <f t="shared" si="49"/>
        <v>7914.9</v>
      </c>
    </row>
    <row r="116" spans="1:8" ht="18.75" x14ac:dyDescent="0.3">
      <c r="A116" s="79" t="s">
        <v>229</v>
      </c>
      <c r="B116" s="84" t="s">
        <v>502</v>
      </c>
      <c r="C116" s="107" t="s">
        <v>180</v>
      </c>
      <c r="D116" s="116"/>
      <c r="E116" s="26"/>
      <c r="F116" s="265">
        <f>F117</f>
        <v>543.70000000000005</v>
      </c>
      <c r="G116" s="265">
        <f t="shared" ref="G116:H117" si="50">G117</f>
        <v>543.70000000000005</v>
      </c>
      <c r="H116" s="265">
        <f t="shared" si="50"/>
        <v>543.70000000000005</v>
      </c>
    </row>
    <row r="117" spans="1:8" ht="56.25" x14ac:dyDescent="0.3">
      <c r="A117" s="86"/>
      <c r="B117" s="84" t="s">
        <v>138</v>
      </c>
      <c r="C117" s="107" t="s">
        <v>503</v>
      </c>
      <c r="D117" s="26" t="str">
        <f>[2]ВСР!E105</f>
        <v>50581 00230</v>
      </c>
      <c r="E117" s="26"/>
      <c r="F117" s="265">
        <f>F118</f>
        <v>543.70000000000005</v>
      </c>
      <c r="G117" s="265">
        <f t="shared" si="50"/>
        <v>543.70000000000005</v>
      </c>
      <c r="H117" s="265">
        <f t="shared" si="50"/>
        <v>543.70000000000005</v>
      </c>
    </row>
    <row r="118" spans="1:8" ht="18.75" x14ac:dyDescent="0.3">
      <c r="A118" s="86"/>
      <c r="B118" s="84" t="s">
        <v>140</v>
      </c>
      <c r="C118" s="107" t="s">
        <v>503</v>
      </c>
      <c r="D118" s="116" t="s">
        <v>139</v>
      </c>
      <c r="E118" s="26" t="s">
        <v>141</v>
      </c>
      <c r="F118" s="265">
        <f>ВСР!G100</f>
        <v>543.70000000000005</v>
      </c>
      <c r="G118" s="265">
        <f>ВСР!H100</f>
        <v>543.70000000000005</v>
      </c>
      <c r="H118" s="265">
        <f>ВСР!I100</f>
        <v>543.70000000000005</v>
      </c>
    </row>
    <row r="119" spans="1:8" ht="18.75" x14ac:dyDescent="0.3">
      <c r="A119" s="86" t="s">
        <v>230</v>
      </c>
      <c r="B119" s="84" t="s">
        <v>231</v>
      </c>
      <c r="C119" s="79" t="s">
        <v>187</v>
      </c>
      <c r="D119" s="116"/>
      <c r="E119" s="26"/>
      <c r="F119" s="265">
        <f>F120+F122</f>
        <v>6569.5</v>
      </c>
      <c r="G119" s="265">
        <f t="shared" ref="G119:H119" si="51">G120+G122</f>
        <v>6923.9</v>
      </c>
      <c r="H119" s="265">
        <f t="shared" si="51"/>
        <v>7371.2</v>
      </c>
    </row>
    <row r="120" spans="1:8" ht="75" customHeight="1" x14ac:dyDescent="0.3">
      <c r="A120" s="86" t="s">
        <v>232</v>
      </c>
      <c r="B120" s="94" t="s">
        <v>144</v>
      </c>
      <c r="C120" s="79" t="s">
        <v>233</v>
      </c>
      <c r="D120" s="26" t="str">
        <f>[2]ВСР!E108</f>
        <v>51100 G0860</v>
      </c>
      <c r="E120" s="23"/>
      <c r="F120" s="265">
        <f>F121</f>
        <v>4276.1000000000004</v>
      </c>
      <c r="G120" s="265">
        <f t="shared" ref="G120:H120" si="52">G121</f>
        <v>4506.8</v>
      </c>
      <c r="H120" s="265">
        <f t="shared" si="52"/>
        <v>4745.8999999999996</v>
      </c>
    </row>
    <row r="121" spans="1:8" ht="21" customHeight="1" x14ac:dyDescent="0.3">
      <c r="A121" s="86"/>
      <c r="B121" s="89" t="s">
        <v>140</v>
      </c>
      <c r="C121" s="79" t="s">
        <v>233</v>
      </c>
      <c r="D121" s="116" t="s">
        <v>145</v>
      </c>
      <c r="E121" s="26" t="s">
        <v>141</v>
      </c>
      <c r="F121" s="266">
        <f>ВСР!G103</f>
        <v>4276.1000000000004</v>
      </c>
      <c r="G121" s="266">
        <f>ВСР!H103</f>
        <v>4506.8</v>
      </c>
      <c r="H121" s="266">
        <f>ВСР!I103</f>
        <v>4745.8999999999996</v>
      </c>
    </row>
    <row r="122" spans="1:8" ht="60.75" customHeight="1" x14ac:dyDescent="0.3">
      <c r="A122" s="86" t="s">
        <v>234</v>
      </c>
      <c r="B122" s="84" t="s">
        <v>146</v>
      </c>
      <c r="C122" s="79" t="s">
        <v>233</v>
      </c>
      <c r="D122" s="44" t="str">
        <f>[2]ВСР!E110</f>
        <v>51100 G0870</v>
      </c>
      <c r="E122" s="26"/>
      <c r="F122" s="266">
        <f>F123</f>
        <v>2293.4</v>
      </c>
      <c r="G122" s="266">
        <f t="shared" ref="G122:H122" si="53">G123</f>
        <v>2417.1</v>
      </c>
      <c r="H122" s="266">
        <f t="shared" si="53"/>
        <v>2625.3</v>
      </c>
    </row>
    <row r="123" spans="1:8" ht="21.95" customHeight="1" x14ac:dyDescent="0.3">
      <c r="A123" s="86"/>
      <c r="B123" s="89" t="s">
        <v>140</v>
      </c>
      <c r="C123" s="79" t="s">
        <v>233</v>
      </c>
      <c r="D123" s="116" t="s">
        <v>147</v>
      </c>
      <c r="E123" s="26" t="s">
        <v>141</v>
      </c>
      <c r="F123" s="266">
        <f>ВСР!G105</f>
        <v>2293.4</v>
      </c>
      <c r="G123" s="266">
        <f>ВСР!H105</f>
        <v>2417.1</v>
      </c>
      <c r="H123" s="266">
        <f>ВСР!I105</f>
        <v>2625.3</v>
      </c>
    </row>
    <row r="124" spans="1:8" ht="17.25" customHeight="1" x14ac:dyDescent="0.3">
      <c r="A124" s="99" t="s">
        <v>235</v>
      </c>
      <c r="B124" s="120" t="s">
        <v>176</v>
      </c>
      <c r="C124" s="76" t="s">
        <v>190</v>
      </c>
      <c r="D124" s="118"/>
      <c r="E124" s="26"/>
      <c r="F124" s="266">
        <f>F125</f>
        <v>40</v>
      </c>
      <c r="G124" s="266" t="str">
        <f t="shared" ref="G124:H126" si="54">G125</f>
        <v>58,7</v>
      </c>
      <c r="H124" s="266">
        <f t="shared" si="54"/>
        <v>64.900000000000006</v>
      </c>
    </row>
    <row r="125" spans="1:8" ht="15.75" customHeight="1" x14ac:dyDescent="0.3">
      <c r="A125" s="86" t="s">
        <v>236</v>
      </c>
      <c r="B125" s="67" t="s">
        <v>177</v>
      </c>
      <c r="C125" s="79" t="s">
        <v>181</v>
      </c>
      <c r="D125" s="118"/>
      <c r="E125" s="26"/>
      <c r="F125" s="266">
        <f>F126</f>
        <v>40</v>
      </c>
      <c r="G125" s="266" t="str">
        <f t="shared" si="54"/>
        <v>58,7</v>
      </c>
      <c r="H125" s="266">
        <f t="shared" si="54"/>
        <v>64.900000000000006</v>
      </c>
    </row>
    <row r="126" spans="1:8" ht="135" customHeight="1" x14ac:dyDescent="0.3">
      <c r="A126" s="86" t="s">
        <v>237</v>
      </c>
      <c r="B126" s="68" t="s">
        <v>175</v>
      </c>
      <c r="C126" s="79" t="s">
        <v>241</v>
      </c>
      <c r="D126" s="118" t="s">
        <v>174</v>
      </c>
      <c r="E126" s="26"/>
      <c r="F126" s="266">
        <f>F127</f>
        <v>40</v>
      </c>
      <c r="G126" s="266" t="str">
        <f t="shared" si="54"/>
        <v>58,7</v>
      </c>
      <c r="H126" s="266">
        <f t="shared" si="54"/>
        <v>64.900000000000006</v>
      </c>
    </row>
    <row r="127" spans="1:8" ht="36" customHeight="1" x14ac:dyDescent="0.3">
      <c r="A127" s="86"/>
      <c r="B127" s="31" t="s">
        <v>45</v>
      </c>
      <c r="C127" s="79" t="s">
        <v>241</v>
      </c>
      <c r="D127" s="118" t="s">
        <v>174</v>
      </c>
      <c r="E127" s="26" t="s">
        <v>46</v>
      </c>
      <c r="F127" s="266">
        <f>ВСР!G109</f>
        <v>40</v>
      </c>
      <c r="G127" s="266" t="str">
        <f>ВСР!H109</f>
        <v>58,7</v>
      </c>
      <c r="H127" s="266">
        <f>ВСР!I109</f>
        <v>64.900000000000006</v>
      </c>
    </row>
    <row r="128" spans="1:8" ht="18.75" x14ac:dyDescent="0.3">
      <c r="A128" s="99" t="s">
        <v>228</v>
      </c>
      <c r="B128" s="105" t="s">
        <v>165</v>
      </c>
      <c r="C128" s="76" t="s">
        <v>199</v>
      </c>
      <c r="D128" s="119"/>
      <c r="E128" s="36"/>
      <c r="F128" s="264">
        <f>F129</f>
        <v>2560</v>
      </c>
      <c r="G128" s="264" t="str">
        <f t="shared" ref="G128:H130" si="55">G129</f>
        <v>2592,9</v>
      </c>
      <c r="H128" s="264">
        <f t="shared" si="55"/>
        <v>2730.3</v>
      </c>
    </row>
    <row r="129" spans="1:12" ht="18.75" x14ac:dyDescent="0.3">
      <c r="A129" s="86" t="s">
        <v>242</v>
      </c>
      <c r="B129" s="83" t="s">
        <v>167</v>
      </c>
      <c r="C129" s="79" t="s">
        <v>181</v>
      </c>
      <c r="D129" s="116"/>
      <c r="E129" s="26"/>
      <c r="F129" s="266">
        <f>F130</f>
        <v>2560</v>
      </c>
      <c r="G129" s="266" t="str">
        <f t="shared" si="55"/>
        <v>2592,9</v>
      </c>
      <c r="H129" s="266">
        <f t="shared" si="55"/>
        <v>2730.3</v>
      </c>
    </row>
    <row r="130" spans="1:12" ht="166.5" customHeight="1" x14ac:dyDescent="0.3">
      <c r="A130" s="86" t="s">
        <v>243</v>
      </c>
      <c r="B130" s="93" t="s">
        <v>169</v>
      </c>
      <c r="C130" s="79" t="s">
        <v>238</v>
      </c>
      <c r="D130" s="26" t="str">
        <f>[2]ВСР!E131</f>
        <v>45701 00250</v>
      </c>
      <c r="E130" s="26"/>
      <c r="F130" s="266">
        <f>F131</f>
        <v>2560</v>
      </c>
      <c r="G130" s="266" t="str">
        <f t="shared" si="55"/>
        <v>2592,9</v>
      </c>
      <c r="H130" s="266">
        <f t="shared" si="55"/>
        <v>2730.3</v>
      </c>
    </row>
    <row r="131" spans="1:12" ht="37.5" x14ac:dyDescent="0.3">
      <c r="A131" s="86"/>
      <c r="B131" s="84" t="s">
        <v>45</v>
      </c>
      <c r="C131" s="79" t="s">
        <v>238</v>
      </c>
      <c r="D131" s="116" t="s">
        <v>170</v>
      </c>
      <c r="E131" s="26" t="s">
        <v>46</v>
      </c>
      <c r="F131" s="266">
        <f>ВСР!G132</f>
        <v>2560</v>
      </c>
      <c r="G131" s="266" t="str">
        <f>ВСР!H132</f>
        <v>2592,9</v>
      </c>
      <c r="H131" s="266">
        <f>ВСР!I132</f>
        <v>2730.3</v>
      </c>
    </row>
    <row r="132" spans="1:12" ht="20.25" x14ac:dyDescent="0.3">
      <c r="A132" s="110"/>
      <c r="B132" s="111" t="s">
        <v>171</v>
      </c>
      <c r="C132" s="112"/>
      <c r="D132" s="113"/>
      <c r="E132" s="112"/>
      <c r="F132" s="268">
        <f>F10+F57+F61+F67+F85+F89+F106+F115+F128+F124</f>
        <v>74501</v>
      </c>
      <c r="G132" s="268">
        <f>G10+G57+G61+G67+G85+G89+G106+G115+G128+G124</f>
        <v>74241.2</v>
      </c>
      <c r="H132" s="268">
        <f>H10+H57+H61+H67+H85+H89+H106+H115+H128+H124</f>
        <v>80153.799999999974</v>
      </c>
      <c r="J132" s="286">
        <f>F132-ВСР!G141</f>
        <v>0</v>
      </c>
      <c r="K132" s="286">
        <f>G132-ВСР!H141</f>
        <v>0</v>
      </c>
      <c r="L132" s="286">
        <f>H132-ВСР!I141</f>
        <v>0</v>
      </c>
    </row>
    <row r="133" spans="1:12" ht="18.75" hidden="1" x14ac:dyDescent="0.3">
      <c r="A133" s="114"/>
      <c r="G133" s="271"/>
      <c r="H133" s="271"/>
    </row>
    <row r="134" spans="1:12" ht="18.75" hidden="1" x14ac:dyDescent="0.3">
      <c r="F134" s="261">
        <v>52719.9</v>
      </c>
      <c r="G134" s="271"/>
      <c r="H134" s="271"/>
    </row>
    <row r="135" spans="1:12" hidden="1" x14ac:dyDescent="0.2">
      <c r="G135" s="271"/>
      <c r="H135" s="271"/>
    </row>
    <row r="136" spans="1:12" hidden="1" x14ac:dyDescent="0.2">
      <c r="E136" s="230" t="s">
        <v>239</v>
      </c>
      <c r="F136" s="258">
        <f>F132-F134</f>
        <v>21781.1</v>
      </c>
      <c r="G136" s="271"/>
      <c r="H136" s="271"/>
    </row>
    <row r="137" spans="1:12" hidden="1" x14ac:dyDescent="0.2">
      <c r="G137" s="271"/>
      <c r="H137" s="271"/>
    </row>
    <row r="138" spans="1:12" hidden="1" x14ac:dyDescent="0.2">
      <c r="G138" s="271"/>
      <c r="H138" s="271"/>
    </row>
    <row r="139" spans="1:12" hidden="1" x14ac:dyDescent="0.2">
      <c r="G139" s="271"/>
      <c r="H139" s="271"/>
    </row>
    <row r="140" spans="1:12" hidden="1" x14ac:dyDescent="0.2">
      <c r="G140" s="271"/>
      <c r="H140" s="271"/>
    </row>
    <row r="141" spans="1:12" hidden="1" x14ac:dyDescent="0.2">
      <c r="G141" s="271"/>
      <c r="H141" s="271"/>
    </row>
    <row r="142" spans="1:12" x14ac:dyDescent="0.2">
      <c r="G142" s="287"/>
      <c r="H142" s="287"/>
    </row>
    <row r="143" spans="1:12" x14ac:dyDescent="0.2">
      <c r="F143" s="288"/>
      <c r="G143" s="289"/>
      <c r="H143" s="289"/>
    </row>
    <row r="145" spans="6:20" ht="22.5" x14ac:dyDescent="0.3">
      <c r="F145" s="262"/>
      <c r="T145" s="123"/>
    </row>
    <row r="152" spans="6:20" x14ac:dyDescent="0.2">
      <c r="H152" s="258">
        <f>H132-H120-H122-H30-H32</f>
        <v>70288.199999999983</v>
      </c>
      <c r="J152" s="1">
        <f>H152*0.025</f>
        <v>1757.2049999999997</v>
      </c>
    </row>
  </sheetData>
  <autoFilter ref="A7:F132"/>
  <mergeCells count="8">
    <mergeCell ref="A5:H5"/>
    <mergeCell ref="G7:H7"/>
    <mergeCell ref="A7:A8"/>
    <mergeCell ref="C7:C8"/>
    <mergeCell ref="B7:B8"/>
    <mergeCell ref="D7:D8"/>
    <mergeCell ref="E7:E8"/>
    <mergeCell ref="F7:F8"/>
  </mergeCells>
  <pageMargins left="0.39370078740157483" right="0" top="0.19685039370078741" bottom="0.19685039370078741" header="0.39370078740157483" footer="0.19685039370078741"/>
  <pageSetup scale="57" fitToHeight="0" orientation="portrait" r:id="rId1"/>
  <headerFooter alignWithMargins="0"/>
  <rowBreaks count="4" manualBreakCount="4">
    <brk id="25" max="6" man="1"/>
    <brk id="56" max="7" man="1"/>
    <brk id="88" max="7" man="1"/>
    <brk id="105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view="pageBreakPreview" zoomScale="106" zoomScaleNormal="100" zoomScaleSheetLayoutView="106" workbookViewId="0">
      <selection activeCell="A7" sqref="A7"/>
    </sheetView>
  </sheetViews>
  <sheetFormatPr defaultRowHeight="15.75" x14ac:dyDescent="0.25"/>
  <cols>
    <col min="1" max="1" width="44.85546875" style="129" customWidth="1"/>
    <col min="2" max="2" width="35.85546875" style="127" customWidth="1"/>
    <col min="3" max="3" width="18.28515625" style="130" customWidth="1"/>
    <col min="4" max="5" width="12" style="128" customWidth="1"/>
    <col min="6" max="15" width="9.140625" style="128"/>
  </cols>
  <sheetData>
    <row r="1" spans="1:5" x14ac:dyDescent="0.25">
      <c r="A1" s="274"/>
      <c r="E1" s="141" t="s">
        <v>539</v>
      </c>
    </row>
    <row r="2" spans="1:5" x14ac:dyDescent="0.25">
      <c r="E2" s="141" t="s">
        <v>17</v>
      </c>
    </row>
    <row r="3" spans="1:5" x14ac:dyDescent="0.25">
      <c r="E3" s="141" t="s">
        <v>16</v>
      </c>
    </row>
    <row r="4" spans="1:5" x14ac:dyDescent="0.25">
      <c r="E4" s="141" t="s">
        <v>533</v>
      </c>
    </row>
    <row r="6" spans="1:5" ht="30.75" customHeight="1" x14ac:dyDescent="0.25">
      <c r="A6" s="336" t="s">
        <v>465</v>
      </c>
      <c r="B6" s="337"/>
      <c r="C6" s="337"/>
      <c r="D6" s="337"/>
      <c r="E6" s="337"/>
    </row>
    <row r="7" spans="1:5" x14ac:dyDescent="0.25">
      <c r="E7" s="192" t="s">
        <v>447</v>
      </c>
    </row>
    <row r="8" spans="1:5" ht="47.25" customHeight="1" x14ac:dyDescent="0.25">
      <c r="A8" s="333" t="s">
        <v>253</v>
      </c>
      <c r="B8" s="333" t="s">
        <v>254</v>
      </c>
      <c r="C8" s="331" t="s">
        <v>443</v>
      </c>
      <c r="D8" s="335" t="s">
        <v>444</v>
      </c>
      <c r="E8" s="335"/>
    </row>
    <row r="9" spans="1:5" ht="15.75" customHeight="1" x14ac:dyDescent="0.25">
      <c r="A9" s="334"/>
      <c r="B9" s="334"/>
      <c r="C9" s="332"/>
      <c r="D9" s="132" t="s">
        <v>445</v>
      </c>
      <c r="E9" s="132" t="s">
        <v>446</v>
      </c>
    </row>
    <row r="10" spans="1:5" x14ac:dyDescent="0.25">
      <c r="A10" s="131">
        <v>1</v>
      </c>
      <c r="B10" s="132">
        <v>2</v>
      </c>
      <c r="C10" s="133">
        <v>3</v>
      </c>
      <c r="D10" s="272">
        <v>4</v>
      </c>
      <c r="E10" s="272">
        <v>5</v>
      </c>
    </row>
    <row r="11" spans="1:5" ht="30.75" customHeight="1" x14ac:dyDescent="0.25">
      <c r="A11" s="134" t="s">
        <v>255</v>
      </c>
      <c r="B11" s="135" t="s">
        <v>256</v>
      </c>
      <c r="C11" s="140">
        <f>C12</f>
        <v>4897.6000000000058</v>
      </c>
      <c r="D11" s="140">
        <f t="shared" ref="D11:E11" si="0">D12</f>
        <v>0</v>
      </c>
      <c r="E11" s="290">
        <f t="shared" si="0"/>
        <v>0</v>
      </c>
    </row>
    <row r="12" spans="1:5" ht="31.5" customHeight="1" x14ac:dyDescent="0.25">
      <c r="A12" s="134" t="s">
        <v>257</v>
      </c>
      <c r="B12" s="136" t="s">
        <v>258</v>
      </c>
      <c r="C12" s="140">
        <f>C13+C18</f>
        <v>4897.6000000000058</v>
      </c>
      <c r="D12" s="140">
        <f t="shared" ref="D12:E12" si="1">D13+D18</f>
        <v>0</v>
      </c>
      <c r="E12" s="140">
        <f t="shared" si="1"/>
        <v>0</v>
      </c>
    </row>
    <row r="13" spans="1:5" ht="15" customHeight="1" x14ac:dyDescent="0.25">
      <c r="A13" s="134" t="s">
        <v>259</v>
      </c>
      <c r="B13" s="136" t="s">
        <v>260</v>
      </c>
      <c r="C13" s="140">
        <f>C14</f>
        <v>-69603.399999999994</v>
      </c>
      <c r="D13" s="140">
        <f t="shared" ref="D13:E15" si="2">D14</f>
        <v>-74241.2</v>
      </c>
      <c r="E13" s="140">
        <f t="shared" si="2"/>
        <v>-80153.8</v>
      </c>
    </row>
    <row r="14" spans="1:5" ht="28.5" customHeight="1" x14ac:dyDescent="0.25">
      <c r="A14" s="134" t="s">
        <v>261</v>
      </c>
      <c r="B14" s="136" t="s">
        <v>262</v>
      </c>
      <c r="C14" s="140">
        <f>C15</f>
        <v>-69603.399999999994</v>
      </c>
      <c r="D14" s="140">
        <f t="shared" si="2"/>
        <v>-74241.2</v>
      </c>
      <c r="E14" s="140">
        <f t="shared" si="2"/>
        <v>-80153.8</v>
      </c>
    </row>
    <row r="15" spans="1:5" ht="30" customHeight="1" x14ac:dyDescent="0.25">
      <c r="A15" s="134" t="s">
        <v>263</v>
      </c>
      <c r="B15" s="136" t="s">
        <v>264</v>
      </c>
      <c r="C15" s="140">
        <f>C16</f>
        <v>-69603.399999999994</v>
      </c>
      <c r="D15" s="140">
        <f t="shared" si="2"/>
        <v>-74241.2</v>
      </c>
      <c r="E15" s="140">
        <f t="shared" si="2"/>
        <v>-80153.8</v>
      </c>
    </row>
    <row r="16" spans="1:5" ht="60" customHeight="1" x14ac:dyDescent="0.25">
      <c r="A16" s="134" t="s">
        <v>265</v>
      </c>
      <c r="B16" s="136" t="s">
        <v>266</v>
      </c>
      <c r="C16" s="140">
        <v>-69603.399999999994</v>
      </c>
      <c r="D16" s="273">
        <v>-74241.2</v>
      </c>
      <c r="E16" s="273">
        <v>-80153.8</v>
      </c>
    </row>
    <row r="17" spans="1:5" ht="14.25" customHeight="1" x14ac:dyDescent="0.25">
      <c r="A17" s="134" t="s">
        <v>326</v>
      </c>
      <c r="B17" s="136" t="s">
        <v>327</v>
      </c>
      <c r="C17" s="140">
        <f>C18</f>
        <v>74501</v>
      </c>
      <c r="D17" s="140">
        <f t="shared" ref="D17:E19" si="3">D18</f>
        <v>74241.2</v>
      </c>
      <c r="E17" s="140">
        <f t="shared" si="3"/>
        <v>80153.799999999974</v>
      </c>
    </row>
    <row r="18" spans="1:5" ht="29.25" customHeight="1" x14ac:dyDescent="0.25">
      <c r="A18" s="134" t="s">
        <v>267</v>
      </c>
      <c r="B18" s="136" t="s">
        <v>268</v>
      </c>
      <c r="C18" s="140">
        <f>C19</f>
        <v>74501</v>
      </c>
      <c r="D18" s="140">
        <f t="shared" si="3"/>
        <v>74241.2</v>
      </c>
      <c r="E18" s="140">
        <f t="shared" si="3"/>
        <v>80153.799999999974</v>
      </c>
    </row>
    <row r="19" spans="1:5" ht="30.75" customHeight="1" x14ac:dyDescent="0.25">
      <c r="A19" s="134" t="s">
        <v>269</v>
      </c>
      <c r="B19" s="136" t="s">
        <v>270</v>
      </c>
      <c r="C19" s="140">
        <f>C20</f>
        <v>74501</v>
      </c>
      <c r="D19" s="140">
        <f t="shared" si="3"/>
        <v>74241.2</v>
      </c>
      <c r="E19" s="140">
        <f t="shared" si="3"/>
        <v>80153.799999999974</v>
      </c>
    </row>
    <row r="20" spans="1:5" ht="60" customHeight="1" x14ac:dyDescent="0.25">
      <c r="A20" s="134" t="s">
        <v>271</v>
      </c>
      <c r="B20" s="136" t="s">
        <v>272</v>
      </c>
      <c r="C20" s="140">
        <f>'Прилож.3 Распр.по ассигн.'!F132</f>
        <v>74501</v>
      </c>
      <c r="D20" s="140">
        <f>'Прилож.3 Распр.по ассигн.'!G132</f>
        <v>74241.2</v>
      </c>
      <c r="E20" s="140">
        <f>'Прилож.3 Распр.по ассигн.'!H132</f>
        <v>80153.799999999974</v>
      </c>
    </row>
  </sheetData>
  <mergeCells count="5">
    <mergeCell ref="C8:C9"/>
    <mergeCell ref="B8:B9"/>
    <mergeCell ref="A8:A9"/>
    <mergeCell ref="D8:E8"/>
    <mergeCell ref="A6:E6"/>
  </mergeCells>
  <pageMargins left="0.7" right="0.7" top="0.75" bottom="0.75" header="0.3" footer="0.3"/>
  <pageSetup paperSize="9"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"/>
  <sheetViews>
    <sheetView view="pageBreakPreview" zoomScale="60" zoomScaleNormal="100" workbookViewId="0">
      <selection activeCell="I37" sqref="I37"/>
    </sheetView>
  </sheetViews>
  <sheetFormatPr defaultRowHeight="15" x14ac:dyDescent="0.25"/>
  <cols>
    <col min="1" max="1" width="11.5703125" customWidth="1"/>
    <col min="4" max="4" width="24.140625" customWidth="1"/>
    <col min="7" max="7" width="15.7109375" customWidth="1"/>
    <col min="8" max="8" width="18.85546875" customWidth="1"/>
    <col min="9" max="9" width="12" customWidth="1"/>
    <col min="10" max="10" width="15.7109375" customWidth="1"/>
    <col min="11" max="11" width="18.85546875" customWidth="1"/>
    <col min="12" max="12" width="12" customWidth="1"/>
    <col min="13" max="13" width="15.7109375" customWidth="1"/>
    <col min="14" max="14" width="18.85546875" customWidth="1"/>
    <col min="15" max="15" width="12" customWidth="1"/>
  </cols>
  <sheetData>
    <row r="1" spans="1:15" ht="35.25" customHeight="1" x14ac:dyDescent="0.25">
      <c r="A1" s="364" t="s">
        <v>454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</row>
    <row r="2" spans="1:15" ht="15.75" thickBot="1" x14ac:dyDescent="0.3">
      <c r="A2" s="216"/>
      <c r="B2" s="216"/>
      <c r="C2" s="216"/>
      <c r="D2" s="216"/>
      <c r="E2" s="216"/>
      <c r="F2" s="216"/>
      <c r="G2" s="216"/>
      <c r="H2" s="216"/>
      <c r="I2" s="216"/>
      <c r="J2" s="128"/>
      <c r="K2" s="128"/>
      <c r="L2" s="128"/>
      <c r="M2" s="128"/>
      <c r="N2" s="128"/>
      <c r="O2" s="128"/>
    </row>
    <row r="3" spans="1:15" x14ac:dyDescent="0.25">
      <c r="A3" s="352" t="s">
        <v>455</v>
      </c>
      <c r="B3" s="353"/>
      <c r="C3" s="353" t="s">
        <v>329</v>
      </c>
      <c r="D3" s="353"/>
      <c r="E3" s="353"/>
      <c r="F3" s="353"/>
      <c r="G3" s="357" t="s">
        <v>443</v>
      </c>
      <c r="H3" s="358"/>
      <c r="I3" s="359"/>
      <c r="J3" s="365" t="s">
        <v>445</v>
      </c>
      <c r="K3" s="358"/>
      <c r="L3" s="366"/>
      <c r="M3" s="357" t="s">
        <v>446</v>
      </c>
      <c r="N3" s="358"/>
      <c r="O3" s="359"/>
    </row>
    <row r="4" spans="1:15" ht="31.5" customHeight="1" x14ac:dyDescent="0.25">
      <c r="A4" s="354"/>
      <c r="B4" s="355"/>
      <c r="C4" s="355"/>
      <c r="D4" s="355"/>
      <c r="E4" s="355"/>
      <c r="F4" s="355"/>
      <c r="G4" s="344" t="s">
        <v>456</v>
      </c>
      <c r="H4" s="345"/>
      <c r="I4" s="217" t="s">
        <v>459</v>
      </c>
      <c r="J4" s="367" t="s">
        <v>456</v>
      </c>
      <c r="K4" s="345"/>
      <c r="L4" s="218" t="s">
        <v>459</v>
      </c>
      <c r="M4" s="344" t="s">
        <v>456</v>
      </c>
      <c r="N4" s="345"/>
      <c r="O4" s="217" t="s">
        <v>459</v>
      </c>
    </row>
    <row r="5" spans="1:15" ht="113.25" customHeight="1" x14ac:dyDescent="0.25">
      <c r="A5" s="346" t="s">
        <v>385</v>
      </c>
      <c r="B5" s="347"/>
      <c r="C5" s="348" t="s">
        <v>386</v>
      </c>
      <c r="D5" s="348"/>
      <c r="E5" s="348"/>
      <c r="F5" s="349"/>
      <c r="G5" s="350" t="s">
        <v>457</v>
      </c>
      <c r="H5" s="351"/>
      <c r="I5" s="219">
        <f>44800/3/1000</f>
        <v>14.933333333333334</v>
      </c>
      <c r="J5" s="368" t="s">
        <v>461</v>
      </c>
      <c r="K5" s="361"/>
      <c r="L5" s="220">
        <f>44800/3/1000</f>
        <v>14.933333333333334</v>
      </c>
      <c r="M5" s="360" t="s">
        <v>461</v>
      </c>
      <c r="N5" s="361"/>
      <c r="O5" s="219">
        <f>44800/3/1000</f>
        <v>14.933333333333334</v>
      </c>
    </row>
    <row r="6" spans="1:15" ht="51.75" customHeight="1" x14ac:dyDescent="0.25">
      <c r="A6" s="369" t="s">
        <v>413</v>
      </c>
      <c r="B6" s="370"/>
      <c r="C6" s="371" t="s">
        <v>414</v>
      </c>
      <c r="D6" s="371"/>
      <c r="E6" s="371"/>
      <c r="F6" s="372"/>
      <c r="G6" s="362" t="s">
        <v>460</v>
      </c>
      <c r="H6" s="363"/>
      <c r="I6" s="219">
        <f>0</f>
        <v>0</v>
      </c>
      <c r="J6" s="351" t="s">
        <v>462</v>
      </c>
      <c r="K6" s="363"/>
      <c r="L6" s="220">
        <f>0</f>
        <v>0</v>
      </c>
      <c r="M6" s="362" t="s">
        <v>463</v>
      </c>
      <c r="N6" s="363"/>
      <c r="O6" s="219">
        <f>0</f>
        <v>0</v>
      </c>
    </row>
    <row r="7" spans="1:15" ht="93.75" customHeight="1" thickBot="1" x14ac:dyDescent="0.3">
      <c r="A7" s="338" t="s">
        <v>374</v>
      </c>
      <c r="B7" s="339"/>
      <c r="C7" s="340" t="s">
        <v>375</v>
      </c>
      <c r="D7" s="341"/>
      <c r="E7" s="341"/>
      <c r="F7" s="341"/>
      <c r="G7" s="342" t="s">
        <v>458</v>
      </c>
      <c r="H7" s="343"/>
      <c r="I7" s="223">
        <v>6.3</v>
      </c>
      <c r="J7" s="356" t="s">
        <v>458</v>
      </c>
      <c r="K7" s="343"/>
      <c r="L7" s="224">
        <v>6.3</v>
      </c>
      <c r="M7" s="342" t="s">
        <v>458</v>
      </c>
      <c r="N7" s="343"/>
      <c r="O7" s="223">
        <v>6.3</v>
      </c>
    </row>
  </sheetData>
  <mergeCells count="24">
    <mergeCell ref="A1:O1"/>
    <mergeCell ref="J3:L3"/>
    <mergeCell ref="J4:K4"/>
    <mergeCell ref="J5:K5"/>
    <mergeCell ref="J6:K6"/>
    <mergeCell ref="A6:B6"/>
    <mergeCell ref="C6:F6"/>
    <mergeCell ref="G6:H6"/>
    <mergeCell ref="G3:I3"/>
    <mergeCell ref="J7:K7"/>
    <mergeCell ref="M3:O3"/>
    <mergeCell ref="M4:N4"/>
    <mergeCell ref="M5:N5"/>
    <mergeCell ref="M6:N6"/>
    <mergeCell ref="M7:N7"/>
    <mergeCell ref="A7:B7"/>
    <mergeCell ref="C7:F7"/>
    <mergeCell ref="G7:H7"/>
    <mergeCell ref="G4:H4"/>
    <mergeCell ref="A5:B5"/>
    <mergeCell ref="C5:F5"/>
    <mergeCell ref="G5:H5"/>
    <mergeCell ref="A3:B4"/>
    <mergeCell ref="C3:F4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Доходы</vt:lpstr>
      <vt:lpstr>ВСР</vt:lpstr>
      <vt:lpstr>Прилож.3 Распр.по ассигн.</vt:lpstr>
      <vt:lpstr>Приложение 4 Источники</vt:lpstr>
      <vt:lpstr>РАСЧЕТНЫЙ ЛИСТ</vt:lpstr>
      <vt:lpstr>ВСР!Область_печати</vt:lpstr>
      <vt:lpstr>Доходы!Область_печати</vt:lpstr>
      <vt:lpstr>'Прилож.3 Распр.по ассигн.'!Область_печати</vt:lpstr>
      <vt:lpstr>'Приложение 4 Источники'!Область_печати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2017-12-13T13:40:28Z</dcterms:modified>
</cp:coreProperties>
</file>